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omments1.xml" ContentType="application/vnd.openxmlformats-officedocument.spreadsheetml.comments+xml"/>
  <Override PartName="/xl/customProperty2.bin" ContentType="application/vnd.openxmlformats-officedocument.spreadsheetml.customProperty"/>
  <Override PartName="/xl/comments2.xml" ContentType="application/vnd.openxmlformats-officedocument.spreadsheetml.comments+xml"/>
  <Override PartName="/xl/customProperty3.bin" ContentType="application/vnd.openxmlformats-officedocument.spreadsheetml.customProperty"/>
  <Override PartName="/xl/customProperty4.bin" ContentType="application/vnd.openxmlformats-officedocument.spreadsheetml.customProperty"/>
  <Override PartName="/xl/comments3.xml" ContentType="application/vnd.openxmlformats-officedocument.spreadsheetml.comments+xml"/>
  <Override PartName="/xl/customProperty5.bin" ContentType="application/vnd.openxmlformats-officedocument.spreadsheetml.customProperty"/>
  <Override PartName="/xl/customProperty6.bin" ContentType="application/vnd.openxmlformats-officedocument.spreadsheetml.customProperty"/>
  <Override PartName="/xl/pivotTables/pivotTable1.xml" ContentType="application/vnd.openxmlformats-officedocument.spreadsheetml.pivotTable+xml"/>
  <Override PartName="/xl/customProperty7.bin" ContentType="application/vnd.openxmlformats-officedocument.spreadsheetml.customProperty"/>
  <Override PartName="/xl/customProperty8.bin" ContentType="application/vnd.openxmlformats-officedocument.spreadsheetml.customProperty"/>
  <Override PartName="/xl/comments4.xml" ContentType="application/vnd.openxmlformats-officedocument.spreadsheetml.comments+xml"/>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ustomProperty19.bin" ContentType="application/vnd.openxmlformats-officedocument.spreadsheetml.customProperty"/>
  <Override PartName="/xl/customProperty20.bin" ContentType="application/vnd.openxmlformats-officedocument.spreadsheetml.customProperty"/>
  <Override PartName="/xl/customProperty21.bin" ContentType="application/vnd.openxmlformats-officedocument.spreadsheetml.customProperty"/>
  <Override PartName="/xl/customProperty22.bin" ContentType="application/vnd.openxmlformats-officedocument.spreadsheetml.customProperty"/>
  <Override PartName="/xl/customProperty23.bin" ContentType="application/vnd.openxmlformats-officedocument.spreadsheetml.customProperty"/>
  <Override PartName="/xl/customProperty24.bin" ContentType="application/vnd.openxmlformats-officedocument.spreadsheetml.customProperty"/>
  <Override PartName="/xl/customProperty25.bin" ContentType="application/vnd.openxmlformats-officedocument.spreadsheetml.customProperty"/>
  <Override PartName="/xl/customProperty26.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C:\Tõnis Tagger\TRAM-ESTEL keskkonna tegevuskava, sept 2023\TRAM-ESTEL koostöölepingu muudatus, veebruar 2025\"/>
    </mc:Choice>
  </mc:AlternateContent>
  <xr:revisionPtr revIDLastSave="0" documentId="8_{A0F3F517-7F4B-40C7-A052-A239DEFEAB0B}" xr6:coauthVersionLast="47" xr6:coauthVersionMax="47" xr10:uidLastSave="{00000000-0000-0000-0000-000000000000}"/>
  <bookViews>
    <workbookView xWindow="-110" yWindow="-110" windowWidth="19420" windowHeight="11620" tabRatio="968" firstSheet="4" activeTab="4" xr2:uid="{00000000-000D-0000-FFFF-FFFF00000000}"/>
  </bookViews>
  <sheets>
    <sheet name="2017-2022 seisuga 26.04.18" sheetId="41" state="hidden" r:id="rId1"/>
    <sheet name="Lisa 1 Finantsplaan_plaan B" sheetId="39" state="hidden" r:id="rId2"/>
    <sheet name="230518 Objektid_Andres" sheetId="42" state="hidden" r:id="rId3"/>
    <sheet name="Lisa 5 2024-2030 TEN-T" sheetId="46" state="hidden" r:id="rId4"/>
    <sheet name="CO2 kava 2030 " sheetId="53" r:id="rId5"/>
    <sheet name="Sillad_IK15.08" sheetId="34" state="hidden" r:id="rId6"/>
    <sheet name="REK_IK15.08" sheetId="35" state="hidden" r:id="rId7"/>
    <sheet name="Kruusateed_IK18.07" sheetId="36" state="hidden" r:id="rId8"/>
    <sheet name="Lisa 2 TEN-T rek puhas" sheetId="19" state="hidden" r:id="rId9"/>
    <sheet name="Lisa 3 TEN-T Ehitus puhas" sheetId="18" state="hidden" r:id="rId10"/>
    <sheet name="Lisa 4 2021-2027 finantsplaan" sheetId="22" state="hidden" r:id="rId11"/>
    <sheet name="Lisa 5 2021-2027 TEN-T ehitus" sheetId="20" state="hidden" r:id="rId12"/>
    <sheet name="TEN-T rek kõik" sheetId="32" state="hidden" r:id="rId13"/>
    <sheet name="1705 TEN-T rek" sheetId="29" state="hidden" r:id="rId14"/>
    <sheet name="20.05 TEN-T Ehitus" sheetId="31" state="hidden" r:id="rId15"/>
    <sheet name="1705 Objektid 2018-30" sheetId="28" state="hidden" r:id="rId16"/>
    <sheet name="Mntd 1, 2 ja 4" sheetId="26" state="hidden" r:id="rId17"/>
    <sheet name="TAK eesmärgi muutmine" sheetId="23" state="hidden" r:id="rId18"/>
    <sheet name="THK 16-21 ettepanek" sheetId="11" state="hidden" r:id="rId19"/>
    <sheet name="TEN-T rek" sheetId="6" state="hidden" r:id="rId20"/>
    <sheet name="TEN-T Ehitus" sheetId="5" state="hidden" r:id="rId21"/>
    <sheet name="Objektid 2018-30" sheetId="17" state="hidden" r:id="rId22"/>
    <sheet name="Kehtiv finantsplaan 14-20" sheetId="13" state="hidden" r:id="rId23"/>
    <sheet name="Eesti rek" sheetId="15" state="hidden" r:id="rId24"/>
    <sheet name="Eesti rek+LS" sheetId="25" state="hidden" r:id="rId25"/>
    <sheet name="Eesti rek puhas" sheetId="24" state="hidden" r:id="rId26"/>
    <sheet name="Sheet1" sheetId="14" state="hidden" r:id="rId27"/>
  </sheets>
  <externalReferences>
    <externalReference r:id="rId28"/>
    <externalReference r:id="rId29"/>
    <externalReference r:id="rId30"/>
    <externalReference r:id="rId31"/>
  </externalReferences>
  <definedNames>
    <definedName name="_xlnm._FilterDatabase" localSheetId="15" hidden="1">'1705 Objektid 2018-30'!$A$5:$S$39</definedName>
    <definedName name="_xlnm._FilterDatabase" localSheetId="14" hidden="1">'20.05 TEN-T Ehitus'!$A$4:$O$51</definedName>
    <definedName name="_xlnm._FilterDatabase" localSheetId="2" hidden="1">'230518 Objektid_Andres'!$A$5:$IZ$66</definedName>
    <definedName name="_xlnm._FilterDatabase" localSheetId="23" hidden="1">'Eesti rek'!$A$5:$M$147</definedName>
    <definedName name="_xlnm._FilterDatabase" localSheetId="25" hidden="1">'Eesti rek puhas'!$A$2:$N$143</definedName>
    <definedName name="_xlnm._FilterDatabase" localSheetId="24" hidden="1">'Eesti rek+LS'!$A$5:$N$146</definedName>
    <definedName name="_xlnm._FilterDatabase" localSheetId="7" hidden="1">Kruusateed_IK18.07!$A$3:$J$133</definedName>
    <definedName name="_xlnm._FilterDatabase" localSheetId="21" hidden="1">'Objektid 2018-30'!$A$5:$S$40</definedName>
    <definedName name="_xlnm._FilterDatabase" localSheetId="6" hidden="1">'REK_IK15.08'!$A$8:$AJ$119</definedName>
    <definedName name="_xlnm._FilterDatabase" localSheetId="26" hidden="1">Sheet1!$A$1:$Y$1</definedName>
    <definedName name="_xlnm._FilterDatabase" localSheetId="5" hidden="1">Sillad_IK15.08!$A$2:$T$92</definedName>
    <definedName name="_xlnm._FilterDatabase" localSheetId="20" hidden="1">'TEN-T Ehitus'!$A$4:$O$45</definedName>
    <definedName name="Btegur">[1]kruusateed!$T$2:$T$1691</definedName>
    <definedName name="Jrk" localSheetId="1">[1]kruusateed!#REF!</definedName>
    <definedName name="Jrk">[1]kruusateed!#REF!</definedName>
    <definedName name="KKtegur">[1]kruusateed!$V$2:$V$1691</definedName>
    <definedName name="Ltegur">[1]kruusateed!$Q$2:$Q$1691</definedName>
    <definedName name="_xlnm.Print_Area" localSheetId="14">'20.05 TEN-T Ehitus'!$A$1:$O$51</definedName>
    <definedName name="_xlnm.Print_Area" localSheetId="4">'CO2 kava 2030 '!$A$1:$H$31</definedName>
    <definedName name="_xlnm.Print_Area" localSheetId="11">'Lisa 5 2021-2027 TEN-T ehitus'!$A$1:$M$38</definedName>
    <definedName name="_xlnm.Print_Area" localSheetId="3">'Lisa 5 2024-2030 TEN-T'!$A$1:$M$46</definedName>
    <definedName name="_xlnm.Print_Area" localSheetId="20">'TEN-T Ehitus'!$A$1:$O$50</definedName>
    <definedName name="SHtegur">[1]kruusateed!$R$2:$R$1691</definedName>
    <definedName name="VEtegur">[1]kruusateed!$U$2:$U$1691</definedName>
    <definedName name="Vtegur">[1]kruusateed!$S$2:$S$1691</definedName>
  </definedNames>
  <calcPr calcId="191029"/>
  <pivotCaches>
    <pivotCache cacheId="0" r:id="rId32"/>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 i="53" l="1"/>
  <c r="E4" i="53"/>
  <c r="D4" i="53"/>
  <c r="C4" i="53"/>
  <c r="B45" i="46" l="1"/>
  <c r="H45" i="46"/>
  <c r="G45" i="46" l="1"/>
  <c r="F45" i="46"/>
  <c r="E45" i="46"/>
  <c r="D45" i="46"/>
  <c r="C45" i="46"/>
  <c r="Z7" i="42" l="1"/>
  <c r="Z8" i="42"/>
  <c r="Z9" i="42"/>
  <c r="Z10" i="42"/>
  <c r="Z11" i="42"/>
  <c r="Z12" i="42"/>
  <c r="Z13" i="42"/>
  <c r="Z14" i="42"/>
  <c r="Z15" i="42"/>
  <c r="Z16" i="42"/>
  <c r="Z18" i="42"/>
  <c r="Z19" i="42"/>
  <c r="Z20" i="42"/>
  <c r="Z21" i="42"/>
  <c r="Z22" i="42"/>
  <c r="Z23" i="42"/>
  <c r="Z24" i="42"/>
  <c r="Z25" i="42"/>
  <c r="Z26" i="42"/>
  <c r="Z27" i="42"/>
  <c r="Z28" i="42"/>
  <c r="Z29" i="42"/>
  <c r="Z30" i="42"/>
  <c r="Z31" i="42"/>
  <c r="Z33" i="42"/>
  <c r="Z35" i="42"/>
  <c r="Z36" i="42"/>
  <c r="Z37" i="42"/>
  <c r="Z38" i="42"/>
  <c r="Z39" i="42"/>
  <c r="Z40" i="42"/>
  <c r="Z41" i="42"/>
  <c r="Z42" i="42"/>
  <c r="Z43" i="42"/>
  <c r="Z44" i="42"/>
  <c r="Z46" i="42"/>
  <c r="Z47" i="42"/>
  <c r="Z48" i="42"/>
  <c r="Z50" i="42"/>
  <c r="Z51" i="42"/>
  <c r="Z52" i="42"/>
  <c r="Z53" i="42"/>
  <c r="Z55" i="42"/>
  <c r="Z56" i="42"/>
  <c r="Z57" i="42"/>
  <c r="Z59" i="42"/>
  <c r="Z61" i="42"/>
  <c r="Z62" i="42"/>
  <c r="Z64" i="42"/>
  <c r="Z65" i="42"/>
  <c r="H8" i="46"/>
  <c r="E8" i="46"/>
  <c r="D8" i="46"/>
  <c r="C8" i="46"/>
  <c r="B8" i="46"/>
  <c r="S66" i="42" l="1"/>
  <c r="R66" i="42"/>
  <c r="Q66" i="42"/>
  <c r="P66" i="42"/>
  <c r="O66" i="42"/>
  <c r="N66" i="42"/>
  <c r="M66" i="42"/>
  <c r="L66" i="42"/>
  <c r="K66" i="42"/>
  <c r="J66" i="42"/>
  <c r="I66" i="42"/>
  <c r="H66" i="42"/>
  <c r="G66" i="42"/>
  <c r="F66" i="42"/>
  <c r="E66" i="42"/>
  <c r="C66" i="42"/>
  <c r="W65" i="42"/>
  <c r="W64" i="42"/>
  <c r="W61" i="42"/>
  <c r="W56" i="42"/>
  <c r="W55" i="42"/>
  <c r="W53" i="42"/>
  <c r="W51" i="42"/>
  <c r="W50" i="42"/>
  <c r="W42" i="42"/>
  <c r="W41" i="42"/>
  <c r="W40" i="42"/>
  <c r="W39" i="42"/>
  <c r="W38" i="42"/>
  <c r="W37" i="42"/>
  <c r="W36" i="42"/>
  <c r="W35" i="42"/>
  <c r="W31" i="42"/>
  <c r="W30" i="42"/>
  <c r="W29" i="42"/>
  <c r="W28" i="42"/>
  <c r="W27" i="42"/>
  <c r="W26" i="42"/>
  <c r="W25" i="42"/>
  <c r="W24" i="42"/>
  <c r="W23" i="42"/>
  <c r="W22" i="42"/>
  <c r="W21" i="42"/>
  <c r="W20" i="42"/>
  <c r="W19" i="42"/>
  <c r="W18" i="42"/>
  <c r="W16" i="42"/>
  <c r="W14" i="42"/>
  <c r="W13" i="42"/>
  <c r="W12" i="42"/>
  <c r="W11" i="42"/>
  <c r="W10" i="42"/>
  <c r="W9" i="42"/>
  <c r="D3" i="42"/>
  <c r="C3" i="42"/>
  <c r="B3" i="42"/>
  <c r="Z66" i="42" l="1"/>
  <c r="P25" i="41" l="1"/>
  <c r="M25" i="41"/>
  <c r="J25" i="41"/>
  <c r="G25" i="41"/>
  <c r="B25" i="41"/>
  <c r="B11" i="41" s="1"/>
  <c r="P24" i="41"/>
  <c r="M24" i="41"/>
  <c r="M22" i="41" s="1"/>
  <c r="J24" i="41"/>
  <c r="G24" i="41"/>
  <c r="D24" i="41"/>
  <c r="D9" i="41" s="1"/>
  <c r="C24" i="41"/>
  <c r="C22" i="41" s="1"/>
  <c r="O22" i="41"/>
  <c r="N22" i="41"/>
  <c r="L22" i="41"/>
  <c r="K22" i="41"/>
  <c r="I22" i="41"/>
  <c r="H22" i="41"/>
  <c r="F22" i="41"/>
  <c r="E22" i="41"/>
  <c r="O19" i="41"/>
  <c r="N19" i="41"/>
  <c r="N26" i="41" s="1"/>
  <c r="P26" i="41" s="1"/>
  <c r="L19" i="41"/>
  <c r="K19" i="41"/>
  <c r="I19" i="41"/>
  <c r="H19" i="41"/>
  <c r="F19" i="41"/>
  <c r="E19" i="41"/>
  <c r="C19" i="41"/>
  <c r="P18" i="41"/>
  <c r="M18" i="41"/>
  <c r="J18" i="41"/>
  <c r="G18" i="41"/>
  <c r="D18" i="41"/>
  <c r="P17" i="41"/>
  <c r="M17" i="41"/>
  <c r="J17" i="41"/>
  <c r="E17" i="41"/>
  <c r="G17" i="41" s="1"/>
  <c r="D17" i="41"/>
  <c r="D16" i="41" s="1"/>
  <c r="B17" i="41"/>
  <c r="B10" i="41" s="1"/>
  <c r="O16" i="41"/>
  <c r="P16" i="41" s="1"/>
  <c r="L16" i="41"/>
  <c r="L14" i="41" s="1"/>
  <c r="K16" i="41"/>
  <c r="I16" i="41"/>
  <c r="I10" i="41" s="1"/>
  <c r="H16" i="41"/>
  <c r="F16" i="41"/>
  <c r="F14" i="41" s="1"/>
  <c r="C16" i="41"/>
  <c r="B16" i="41"/>
  <c r="N14" i="41"/>
  <c r="N12" i="41"/>
  <c r="P12" i="41" s="1"/>
  <c r="K12" i="41"/>
  <c r="M12" i="41" s="1"/>
  <c r="H12" i="41"/>
  <c r="J12" i="41" s="1"/>
  <c r="E12" i="41"/>
  <c r="G12" i="41" s="1"/>
  <c r="D12" i="41"/>
  <c r="O11" i="41"/>
  <c r="N11" i="41"/>
  <c r="L11" i="41"/>
  <c r="K11" i="41"/>
  <c r="M11" i="41" s="1"/>
  <c r="I11" i="41"/>
  <c r="H11" i="41"/>
  <c r="E11" i="41"/>
  <c r="G11" i="41" s="1"/>
  <c r="D11" i="41"/>
  <c r="C11" i="41"/>
  <c r="N10" i="41"/>
  <c r="L10" i="41"/>
  <c r="K10" i="41"/>
  <c r="M10" i="41" s="1"/>
  <c r="N9" i="41"/>
  <c r="P9" i="41" s="1"/>
  <c r="K9" i="41"/>
  <c r="M9" i="41" s="1"/>
  <c r="H9" i="41"/>
  <c r="J9" i="41" s="1"/>
  <c r="E9" i="41"/>
  <c r="G9" i="41" s="1"/>
  <c r="B9" i="41"/>
  <c r="N8" i="41"/>
  <c r="P8" i="41" s="1"/>
  <c r="K8" i="41"/>
  <c r="M8" i="41" s="1"/>
  <c r="H8" i="41"/>
  <c r="J8" i="41" s="1"/>
  <c r="E8" i="41"/>
  <c r="G8" i="41" s="1"/>
  <c r="D8" i="41"/>
  <c r="C8" i="41"/>
  <c r="B8" i="41"/>
  <c r="P7" i="41"/>
  <c r="M7" i="41"/>
  <c r="J7" i="41"/>
  <c r="G7" i="41"/>
  <c r="B7" i="41"/>
  <c r="L5" i="41"/>
  <c r="E16" i="41" l="1"/>
  <c r="G16" i="41" s="1"/>
  <c r="F10" i="41"/>
  <c r="F5" i="41" s="1"/>
  <c r="D22" i="41"/>
  <c r="D20" i="41"/>
  <c r="D10" i="41"/>
  <c r="M19" i="41"/>
  <c r="D5" i="41"/>
  <c r="E10" i="41"/>
  <c r="G10" i="41" s="1"/>
  <c r="G5" i="41" s="1"/>
  <c r="G19" i="41"/>
  <c r="B22" i="41"/>
  <c r="P22" i="41"/>
  <c r="P11" i="41"/>
  <c r="B5" i="41"/>
  <c r="C9" i="41"/>
  <c r="B14" i="41"/>
  <c r="C26" i="41"/>
  <c r="H20" i="41"/>
  <c r="P14" i="41"/>
  <c r="P19" i="41"/>
  <c r="J22" i="41"/>
  <c r="N5" i="41"/>
  <c r="M5" i="41"/>
  <c r="O10" i="41"/>
  <c r="O5" i="41" s="1"/>
  <c r="C14" i="41"/>
  <c r="H14" i="41"/>
  <c r="I20" i="41"/>
  <c r="J20" i="41" s="1"/>
  <c r="I5" i="41"/>
  <c r="D14" i="41"/>
  <c r="I14" i="41"/>
  <c r="O14" i="41"/>
  <c r="K26" i="41"/>
  <c r="M26" i="41" s="1"/>
  <c r="K5" i="41"/>
  <c r="C10" i="41"/>
  <c r="H10" i="41"/>
  <c r="H5" i="41" s="1"/>
  <c r="J11" i="41"/>
  <c r="E14" i="41"/>
  <c r="K14" i="41"/>
  <c r="B20" i="41"/>
  <c r="F26" i="41"/>
  <c r="L26" i="41"/>
  <c r="J19" i="41"/>
  <c r="G22" i="41"/>
  <c r="G14" i="41"/>
  <c r="E20" i="41"/>
  <c r="D26" i="41"/>
  <c r="H26" i="41"/>
  <c r="J26" i="41" s="1"/>
  <c r="M16" i="41"/>
  <c r="M14" i="41" s="1"/>
  <c r="F20" i="41"/>
  <c r="N20" i="41"/>
  <c r="E26" i="41"/>
  <c r="G26" i="41" s="1"/>
  <c r="J16" i="41"/>
  <c r="J14" i="41" s="1"/>
  <c r="C20" i="41"/>
  <c r="K20" i="41"/>
  <c r="O20" i="41"/>
  <c r="O26" i="41"/>
  <c r="L20" i="41"/>
  <c r="E5" i="41" l="1"/>
  <c r="C5" i="41"/>
  <c r="B26" i="41"/>
  <c r="J10" i="41"/>
  <c r="J5" i="41" s="1"/>
  <c r="P10" i="41"/>
  <c r="P5" i="41" s="1"/>
  <c r="G20" i="41"/>
  <c r="M20" i="41"/>
  <c r="P20" i="41"/>
  <c r="J104" i="39" l="1"/>
  <c r="I104" i="39"/>
  <c r="I123" i="39"/>
  <c r="O111" i="39"/>
  <c r="O112" i="39" s="1"/>
  <c r="N111" i="39"/>
  <c r="N112" i="39" s="1"/>
  <c r="M111" i="39"/>
  <c r="M112" i="39" s="1"/>
  <c r="L111" i="39"/>
  <c r="L112" i="39" s="1"/>
  <c r="K111" i="39"/>
  <c r="K112" i="39" s="1"/>
  <c r="J111" i="39"/>
  <c r="J112" i="39" s="1"/>
  <c r="I111" i="39"/>
  <c r="I112" i="39" s="1"/>
  <c r="H111" i="39"/>
  <c r="H112" i="39" s="1"/>
  <c r="G111" i="39"/>
  <c r="G112" i="39" s="1"/>
  <c r="F111" i="39"/>
  <c r="F112" i="39" s="1"/>
  <c r="E111" i="39"/>
  <c r="E112" i="39" s="1"/>
  <c r="D111" i="39"/>
  <c r="D112" i="39" s="1"/>
  <c r="C111" i="39"/>
  <c r="C112" i="39" s="1"/>
  <c r="B111" i="39"/>
  <c r="B112" i="39" s="1"/>
  <c r="O107" i="39"/>
  <c r="N107" i="39"/>
  <c r="M107" i="39"/>
  <c r="L107" i="39"/>
  <c r="K107" i="39"/>
  <c r="H107" i="39"/>
  <c r="G107" i="39"/>
  <c r="F107" i="39"/>
  <c r="E107" i="39"/>
  <c r="D107" i="39"/>
  <c r="C107" i="39"/>
  <c r="B107" i="39"/>
  <c r="O106" i="39"/>
  <c r="N106" i="39"/>
  <c r="M106" i="39"/>
  <c r="L106" i="39"/>
  <c r="K106" i="39"/>
  <c r="E106" i="39"/>
  <c r="D106" i="39"/>
  <c r="C106" i="39"/>
  <c r="B106" i="39"/>
  <c r="O105" i="39"/>
  <c r="N105" i="39"/>
  <c r="M105" i="39"/>
  <c r="L105" i="39"/>
  <c r="K105" i="39"/>
  <c r="E105" i="39"/>
  <c r="D105" i="39"/>
  <c r="C105" i="39"/>
  <c r="B105" i="39"/>
  <c r="O104" i="39"/>
  <c r="N104" i="39"/>
  <c r="M104" i="39"/>
  <c r="L104" i="39"/>
  <c r="K104" i="39"/>
  <c r="E104" i="39"/>
  <c r="D104" i="39"/>
  <c r="C104" i="39"/>
  <c r="B104" i="39"/>
  <c r="O103" i="39"/>
  <c r="N103" i="39"/>
  <c r="M103" i="39"/>
  <c r="L103" i="39"/>
  <c r="K103" i="39"/>
  <c r="J103" i="39"/>
  <c r="I103" i="39"/>
  <c r="H103" i="39"/>
  <c r="G103" i="39"/>
  <c r="F103" i="39"/>
  <c r="E103" i="39"/>
  <c r="D103" i="39"/>
  <c r="C103" i="39"/>
  <c r="B103" i="39"/>
  <c r="O102" i="39"/>
  <c r="N102" i="39"/>
  <c r="M102" i="39"/>
  <c r="L102" i="39"/>
  <c r="K102" i="39"/>
  <c r="J102" i="39"/>
  <c r="I102" i="39"/>
  <c r="H102" i="39"/>
  <c r="G102" i="39"/>
  <c r="F102" i="39"/>
  <c r="E102" i="39"/>
  <c r="D102" i="39"/>
  <c r="C102" i="39"/>
  <c r="B102" i="39"/>
  <c r="O101" i="39"/>
  <c r="N101" i="39"/>
  <c r="M101" i="39"/>
  <c r="L101" i="39"/>
  <c r="K101" i="39"/>
  <c r="J101" i="39"/>
  <c r="I101" i="39"/>
  <c r="H101" i="39"/>
  <c r="G101" i="39"/>
  <c r="F101" i="39"/>
  <c r="E101" i="39"/>
  <c r="D101" i="39"/>
  <c r="C101" i="39"/>
  <c r="B101" i="39"/>
  <c r="O100" i="39"/>
  <c r="N100" i="39"/>
  <c r="M100" i="39"/>
  <c r="L100" i="39"/>
  <c r="K100" i="39"/>
  <c r="J100" i="39"/>
  <c r="I100" i="39"/>
  <c r="H100" i="39"/>
  <c r="G100" i="39"/>
  <c r="F100" i="39"/>
  <c r="E100" i="39"/>
  <c r="D100" i="39"/>
  <c r="C100" i="39"/>
  <c r="B100" i="39"/>
  <c r="O96" i="39"/>
  <c r="N96" i="39"/>
  <c r="M96" i="39"/>
  <c r="L96" i="39"/>
  <c r="K96" i="39"/>
  <c r="J96" i="39"/>
  <c r="I96" i="39"/>
  <c r="H96" i="39"/>
  <c r="G96" i="39"/>
  <c r="F96" i="39"/>
  <c r="E96" i="39"/>
  <c r="D96" i="39"/>
  <c r="C96" i="39"/>
  <c r="B96" i="39"/>
  <c r="O95" i="39"/>
  <c r="N95" i="39"/>
  <c r="M95" i="39"/>
  <c r="L95" i="39"/>
  <c r="K95" i="39"/>
  <c r="J95" i="39"/>
  <c r="I95" i="39"/>
  <c r="H95" i="39"/>
  <c r="G95" i="39"/>
  <c r="F95" i="39"/>
  <c r="E95" i="39"/>
  <c r="D95" i="39"/>
  <c r="C95" i="39"/>
  <c r="B95" i="39"/>
  <c r="O94" i="39"/>
  <c r="N94" i="39"/>
  <c r="M94" i="39"/>
  <c r="L94" i="39"/>
  <c r="K94" i="39"/>
  <c r="J94" i="39"/>
  <c r="E94" i="39"/>
  <c r="D94" i="39"/>
  <c r="C94" i="39"/>
  <c r="B94" i="39"/>
  <c r="O93" i="39"/>
  <c r="N93" i="39"/>
  <c r="M93" i="39"/>
  <c r="L93" i="39"/>
  <c r="K93" i="39"/>
  <c r="J93" i="39"/>
  <c r="E93" i="39"/>
  <c r="D93" i="39"/>
  <c r="C93" i="39"/>
  <c r="B93" i="39"/>
  <c r="O92" i="39"/>
  <c r="N92" i="39"/>
  <c r="M92" i="39"/>
  <c r="L92" i="39"/>
  <c r="K92" i="39"/>
  <c r="J92" i="39"/>
  <c r="I92" i="39"/>
  <c r="H92" i="39"/>
  <c r="G92" i="39"/>
  <c r="F92" i="39"/>
  <c r="E92" i="39"/>
  <c r="D92" i="39"/>
  <c r="C92" i="39"/>
  <c r="B92" i="39"/>
  <c r="O91" i="39"/>
  <c r="N91" i="39"/>
  <c r="M91" i="39"/>
  <c r="L91" i="39"/>
  <c r="K91" i="39"/>
  <c r="J91" i="39"/>
  <c r="I91" i="39"/>
  <c r="H91" i="39"/>
  <c r="G91" i="39"/>
  <c r="F91" i="39"/>
  <c r="E91" i="39"/>
  <c r="D91" i="39"/>
  <c r="C91" i="39"/>
  <c r="B91" i="39"/>
  <c r="O90" i="39"/>
  <c r="N90" i="39"/>
  <c r="M90" i="39"/>
  <c r="L90" i="39"/>
  <c r="K90" i="39"/>
  <c r="J90" i="39"/>
  <c r="I90" i="39"/>
  <c r="H90" i="39"/>
  <c r="H55" i="39" s="1"/>
  <c r="G90" i="39"/>
  <c r="G55" i="39" s="1"/>
  <c r="F90" i="39"/>
  <c r="F55" i="39" s="1"/>
  <c r="E90" i="39"/>
  <c r="D90" i="39"/>
  <c r="C90" i="39"/>
  <c r="B90" i="39"/>
  <c r="O89" i="39"/>
  <c r="N89" i="39"/>
  <c r="M89" i="39"/>
  <c r="L89" i="39"/>
  <c r="K89" i="39"/>
  <c r="E89" i="39"/>
  <c r="D89" i="39"/>
  <c r="C89" i="39"/>
  <c r="B89" i="39"/>
  <c r="D86" i="39"/>
  <c r="B86" i="39"/>
  <c r="C85" i="39"/>
  <c r="O84" i="39"/>
  <c r="O86" i="39" s="1"/>
  <c r="N84" i="39"/>
  <c r="N86" i="39" s="1"/>
  <c r="M84" i="39"/>
  <c r="M86" i="39" s="1"/>
  <c r="L84" i="39"/>
  <c r="L86" i="39" s="1"/>
  <c r="K84" i="39"/>
  <c r="K86" i="39" s="1"/>
  <c r="J84" i="39"/>
  <c r="J86" i="39" s="1"/>
  <c r="I84" i="39"/>
  <c r="I86" i="39" s="1"/>
  <c r="H84" i="39"/>
  <c r="H86" i="39" s="1"/>
  <c r="G84" i="39"/>
  <c r="G86" i="39" s="1"/>
  <c r="F84" i="39"/>
  <c r="F86" i="39" s="1"/>
  <c r="E84" i="39"/>
  <c r="E86" i="39" s="1"/>
  <c r="C84" i="39"/>
  <c r="O77" i="39"/>
  <c r="N77" i="39"/>
  <c r="M77" i="39"/>
  <c r="L77" i="39"/>
  <c r="K77" i="39"/>
  <c r="J77" i="39"/>
  <c r="I77" i="39"/>
  <c r="H77" i="39"/>
  <c r="G77" i="39"/>
  <c r="F77" i="39"/>
  <c r="E77" i="39"/>
  <c r="D77" i="39"/>
  <c r="C77" i="39"/>
  <c r="B77" i="39"/>
  <c r="E74" i="39"/>
  <c r="D74" i="39"/>
  <c r="C74" i="39"/>
  <c r="B74" i="39"/>
  <c r="O73" i="39"/>
  <c r="O74" i="39" s="1"/>
  <c r="N73" i="39"/>
  <c r="N74" i="39" s="1"/>
  <c r="M73" i="39"/>
  <c r="M74" i="39" s="1"/>
  <c r="L73" i="39"/>
  <c r="L74" i="39" s="1"/>
  <c r="K73" i="39"/>
  <c r="K74" i="39" s="1"/>
  <c r="J72" i="39"/>
  <c r="J107" i="39" s="1"/>
  <c r="I72" i="39"/>
  <c r="I107" i="39" s="1"/>
  <c r="J71" i="39"/>
  <c r="J106" i="39" s="1"/>
  <c r="I71" i="39"/>
  <c r="I106" i="39" s="1"/>
  <c r="J70" i="39"/>
  <c r="J105" i="39" s="1"/>
  <c r="I70" i="39"/>
  <c r="I105" i="39" s="1"/>
  <c r="O63" i="39"/>
  <c r="N63" i="39"/>
  <c r="M63" i="39"/>
  <c r="L63" i="39"/>
  <c r="K63" i="39"/>
  <c r="E63" i="39"/>
  <c r="D63" i="39"/>
  <c r="C63" i="39"/>
  <c r="B63" i="39"/>
  <c r="J54" i="39"/>
  <c r="J63" i="39" s="1"/>
  <c r="I54" i="39"/>
  <c r="H54" i="39"/>
  <c r="G54" i="39"/>
  <c r="F54" i="39"/>
  <c r="D51" i="39"/>
  <c r="B51" i="39"/>
  <c r="C50" i="39"/>
  <c r="O49" i="39"/>
  <c r="O51" i="39" s="1"/>
  <c r="N49" i="39"/>
  <c r="N51" i="39" s="1"/>
  <c r="M49" i="39"/>
  <c r="M51" i="39" s="1"/>
  <c r="L49" i="39"/>
  <c r="L51" i="39" s="1"/>
  <c r="K49" i="39"/>
  <c r="K51" i="39" s="1"/>
  <c r="J49" i="39"/>
  <c r="J51" i="39" s="1"/>
  <c r="I49" i="39"/>
  <c r="I51" i="39" s="1"/>
  <c r="H49" i="39"/>
  <c r="H51" i="39" s="1"/>
  <c r="G49" i="39"/>
  <c r="G51" i="39" s="1"/>
  <c r="F49" i="39"/>
  <c r="F51" i="39" s="1"/>
  <c r="E49" i="39"/>
  <c r="E51" i="39" s="1"/>
  <c r="C49" i="39"/>
  <c r="B42" i="39"/>
  <c r="O39" i="39"/>
  <c r="N39" i="39"/>
  <c r="M39" i="39"/>
  <c r="L39" i="39"/>
  <c r="K39" i="39"/>
  <c r="J39" i="39"/>
  <c r="I39" i="39"/>
  <c r="H39" i="39"/>
  <c r="G39" i="39"/>
  <c r="F39" i="39"/>
  <c r="E39" i="39"/>
  <c r="D39" i="39"/>
  <c r="C39" i="39"/>
  <c r="B39" i="39"/>
  <c r="M36" i="39"/>
  <c r="O35" i="39"/>
  <c r="O36" i="39" s="1"/>
  <c r="N35" i="39"/>
  <c r="N108" i="39" s="1"/>
  <c r="M35" i="39"/>
  <c r="L35" i="39"/>
  <c r="K35" i="39"/>
  <c r="K108" i="39" s="1"/>
  <c r="E35" i="39"/>
  <c r="E108" i="39" s="1"/>
  <c r="D35" i="39"/>
  <c r="D108" i="39" s="1"/>
  <c r="C35" i="39"/>
  <c r="C108" i="39" s="1"/>
  <c r="B35" i="39"/>
  <c r="B108" i="39" s="1"/>
  <c r="J31" i="39"/>
  <c r="J35" i="39" s="1"/>
  <c r="J36" i="39" s="1"/>
  <c r="I31" i="39"/>
  <c r="I35" i="39" s="1"/>
  <c r="H31" i="39"/>
  <c r="G31" i="39"/>
  <c r="G35" i="39" s="1"/>
  <c r="G36" i="39" s="1"/>
  <c r="F31" i="39"/>
  <c r="F35" i="39" s="1"/>
  <c r="O24" i="39"/>
  <c r="O25" i="39" s="1"/>
  <c r="N24" i="39"/>
  <c r="N97" i="39" s="1"/>
  <c r="M24" i="39"/>
  <c r="M97" i="39" s="1"/>
  <c r="L24" i="39"/>
  <c r="L97" i="39" s="1"/>
  <c r="K24" i="39"/>
  <c r="K97" i="39" s="1"/>
  <c r="J24" i="39"/>
  <c r="J97" i="39" s="1"/>
  <c r="I24" i="39"/>
  <c r="I25" i="39" s="1"/>
  <c r="H24" i="39"/>
  <c r="H25" i="39" s="1"/>
  <c r="G24" i="39"/>
  <c r="G25" i="39" s="1"/>
  <c r="F24" i="39"/>
  <c r="F25" i="39" s="1"/>
  <c r="E24" i="39"/>
  <c r="E97" i="39" s="1"/>
  <c r="D24" i="39"/>
  <c r="D25" i="39" s="1"/>
  <c r="C24" i="39"/>
  <c r="C97" i="39" s="1"/>
  <c r="B24" i="39"/>
  <c r="B97" i="39" s="1"/>
  <c r="D13" i="39"/>
  <c r="B13" i="39"/>
  <c r="C12" i="39"/>
  <c r="H11" i="39"/>
  <c r="H13" i="39" s="1"/>
  <c r="G11" i="39"/>
  <c r="G13" i="39" s="1"/>
  <c r="F11" i="39"/>
  <c r="F13" i="39" s="1"/>
  <c r="E11" i="39"/>
  <c r="E13" i="39" s="1"/>
  <c r="C11" i="39"/>
  <c r="C42" i="39" s="1"/>
  <c r="J5" i="39"/>
  <c r="I5" i="39"/>
  <c r="H5" i="39"/>
  <c r="G5" i="39"/>
  <c r="F5" i="39"/>
  <c r="E5" i="39"/>
  <c r="U124" i="35"/>
  <c r="C86" i="39" l="1"/>
  <c r="C51" i="39"/>
  <c r="E109" i="39"/>
  <c r="K109" i="39"/>
  <c r="N98" i="39"/>
  <c r="E8" i="39"/>
  <c r="N79" i="39"/>
  <c r="N78" i="39" s="1"/>
  <c r="B109" i="39"/>
  <c r="O97" i="39"/>
  <c r="O98" i="39" s="1"/>
  <c r="G8" i="39"/>
  <c r="L98" i="39"/>
  <c r="C25" i="39"/>
  <c r="L108" i="39"/>
  <c r="L109" i="39" s="1"/>
  <c r="K25" i="39"/>
  <c r="M108" i="39"/>
  <c r="M109" i="39" s="1"/>
  <c r="O79" i="39"/>
  <c r="O78" i="39" s="1"/>
  <c r="D97" i="39"/>
  <c r="D98" i="39" s="1"/>
  <c r="L25" i="39"/>
  <c r="E36" i="39"/>
  <c r="J69" i="39"/>
  <c r="J73" i="39" s="1"/>
  <c r="J74" i="39" s="1"/>
  <c r="J79" i="39" s="1"/>
  <c r="J78" i="39" s="1"/>
  <c r="C79" i="39"/>
  <c r="C78" i="39" s="1"/>
  <c r="K98" i="39"/>
  <c r="B98" i="39"/>
  <c r="J98" i="39"/>
  <c r="E25" i="39"/>
  <c r="M25" i="39"/>
  <c r="M41" i="39" s="1"/>
  <c r="C109" i="39"/>
  <c r="H35" i="39"/>
  <c r="H36" i="39" s="1"/>
  <c r="H41" i="39" s="1"/>
  <c r="H37" i="39" s="1"/>
  <c r="D79" i="39"/>
  <c r="D75" i="39" s="1"/>
  <c r="C98" i="39"/>
  <c r="C114" i="39" s="1"/>
  <c r="C113" i="39" s="1"/>
  <c r="D109" i="39"/>
  <c r="N109" i="39"/>
  <c r="L36" i="39"/>
  <c r="E79" i="39"/>
  <c r="E78" i="39" s="1"/>
  <c r="O108" i="39"/>
  <c r="O109" i="39" s="1"/>
  <c r="I36" i="39"/>
  <c r="I41" i="39" s="1"/>
  <c r="I40" i="39" s="1"/>
  <c r="C13" i="39"/>
  <c r="B36" i="39"/>
  <c r="N36" i="39"/>
  <c r="B79" i="39"/>
  <c r="B64" i="39" s="1"/>
  <c r="D36" i="39"/>
  <c r="D41" i="39" s="1"/>
  <c r="G41" i="39"/>
  <c r="G37" i="39" s="1"/>
  <c r="O41" i="39"/>
  <c r="O37" i="39" s="1"/>
  <c r="K79" i="39"/>
  <c r="K64" i="39" s="1"/>
  <c r="H8" i="39"/>
  <c r="F8" i="39"/>
  <c r="E98" i="39"/>
  <c r="E114" i="39" s="1"/>
  <c r="M98" i="39"/>
  <c r="F36" i="39"/>
  <c r="F41" i="39" s="1"/>
  <c r="F26" i="39" s="1"/>
  <c r="E75" i="39"/>
  <c r="M79" i="39"/>
  <c r="M75" i="39" s="1"/>
  <c r="L79" i="39"/>
  <c r="L64" i="39" s="1"/>
  <c r="B25" i="39"/>
  <c r="J25" i="39"/>
  <c r="J41" i="39" s="1"/>
  <c r="N25" i="39"/>
  <c r="C36" i="39"/>
  <c r="K36" i="39"/>
  <c r="I69" i="39"/>
  <c r="I73" i="39" s="1"/>
  <c r="I74" i="39" s="1"/>
  <c r="H391" i="36"/>
  <c r="H262" i="36"/>
  <c r="H133" i="36"/>
  <c r="I86" i="36"/>
  <c r="I85" i="36"/>
  <c r="I84" i="36"/>
  <c r="I83" i="36"/>
  <c r="I82" i="36"/>
  <c r="I81" i="36"/>
  <c r="I80" i="36"/>
  <c r="I79" i="36"/>
  <c r="I78" i="36"/>
  <c r="I77" i="36"/>
  <c r="I76" i="36"/>
  <c r="I75" i="36"/>
  <c r="I74" i="36"/>
  <c r="I73" i="36"/>
  <c r="I72" i="36"/>
  <c r="I71" i="36"/>
  <c r="I70" i="36"/>
  <c r="I69" i="36"/>
  <c r="I68" i="36"/>
  <c r="I67" i="36"/>
  <c r="I66" i="36"/>
  <c r="I65" i="36"/>
  <c r="I64" i="36"/>
  <c r="I63" i="36"/>
  <c r="I62" i="36"/>
  <c r="I61" i="36"/>
  <c r="I60" i="36"/>
  <c r="I59" i="36"/>
  <c r="I58" i="36"/>
  <c r="I57" i="36"/>
  <c r="I56" i="36"/>
  <c r="I55" i="36"/>
  <c r="I54" i="36"/>
  <c r="I53" i="36"/>
  <c r="I52" i="36"/>
  <c r="I51" i="36"/>
  <c r="I50" i="36"/>
  <c r="I49" i="36"/>
  <c r="I48" i="36"/>
  <c r="I47" i="36"/>
  <c r="I46" i="36"/>
  <c r="I45" i="36"/>
  <c r="I44" i="36"/>
  <c r="I43" i="36"/>
  <c r="I42" i="36"/>
  <c r="I41" i="36"/>
  <c r="I40" i="36"/>
  <c r="I39" i="36"/>
  <c r="I38" i="36"/>
  <c r="I37" i="36"/>
  <c r="I36" i="36"/>
  <c r="I35" i="36"/>
  <c r="I34" i="36"/>
  <c r="I33" i="36"/>
  <c r="I32" i="36"/>
  <c r="I31" i="36"/>
  <c r="I30" i="36"/>
  <c r="I29" i="36"/>
  <c r="I28" i="36"/>
  <c r="I27" i="36"/>
  <c r="I26" i="36"/>
  <c r="I25" i="36"/>
  <c r="I24" i="36"/>
  <c r="I23" i="36"/>
  <c r="I22" i="36"/>
  <c r="I21" i="36"/>
  <c r="I20" i="36"/>
  <c r="I19" i="36"/>
  <c r="I18" i="36"/>
  <c r="A18" i="36"/>
  <c r="A19" i="36" s="1"/>
  <c r="A20" i="36" s="1"/>
  <c r="A21" i="36" s="1"/>
  <c r="A22" i="36" s="1"/>
  <c r="A23" i="36" s="1"/>
  <c r="A24" i="36" s="1"/>
  <c r="A25" i="36" s="1"/>
  <c r="A26" i="36" s="1"/>
  <c r="A27" i="36" s="1"/>
  <c r="A28" i="36" s="1"/>
  <c r="A29" i="36" s="1"/>
  <c r="A30" i="36" s="1"/>
  <c r="A31" i="36" s="1"/>
  <c r="A32" i="36" s="1"/>
  <c r="A33" i="36" s="1"/>
  <c r="A34" i="36" s="1"/>
  <c r="A35" i="36" s="1"/>
  <c r="A36" i="36" s="1"/>
  <c r="A37" i="36" s="1"/>
  <c r="A38" i="36" s="1"/>
  <c r="A39" i="36" s="1"/>
  <c r="A40" i="36" s="1"/>
  <c r="A41" i="36" s="1"/>
  <c r="A42" i="36" s="1"/>
  <c r="A43" i="36" s="1"/>
  <c r="A44" i="36" s="1"/>
  <c r="A45" i="36" s="1"/>
  <c r="A46" i="36" s="1"/>
  <c r="A47" i="36" s="1"/>
  <c r="A48" i="36" s="1"/>
  <c r="A49" i="36" s="1"/>
  <c r="A50" i="36" s="1"/>
  <c r="A51" i="36" s="1"/>
  <c r="A52" i="36" s="1"/>
  <c r="A53" i="36" s="1"/>
  <c r="A54" i="36" s="1"/>
  <c r="A55" i="36" s="1"/>
  <c r="A56" i="36" s="1"/>
  <c r="A57" i="36" s="1"/>
  <c r="A58" i="36" s="1"/>
  <c r="A59" i="36" s="1"/>
  <c r="A60" i="36" s="1"/>
  <c r="A61" i="36" s="1"/>
  <c r="A62" i="36" s="1"/>
  <c r="A63" i="36" s="1"/>
  <c r="A64" i="36" s="1"/>
  <c r="A65" i="36" s="1"/>
  <c r="A66" i="36" s="1"/>
  <c r="A67" i="36" s="1"/>
  <c r="A68" i="36" s="1"/>
  <c r="A69" i="36" s="1"/>
  <c r="A70" i="36" s="1"/>
  <c r="A71" i="36" s="1"/>
  <c r="A72" i="36" s="1"/>
  <c r="A73" i="36" s="1"/>
  <c r="A74" i="36" s="1"/>
  <c r="A75" i="36" s="1"/>
  <c r="A76" i="36" s="1"/>
  <c r="A77" i="36" s="1"/>
  <c r="A78" i="36" s="1"/>
  <c r="A79" i="36" s="1"/>
  <c r="A80" i="36" s="1"/>
  <c r="A81" i="36" s="1"/>
  <c r="A82" i="36" s="1"/>
  <c r="A83" i="36" s="1"/>
  <c r="A84" i="36" s="1"/>
  <c r="A85" i="36" s="1"/>
  <c r="A86" i="36" s="1"/>
  <c r="A87" i="36" s="1"/>
  <c r="A88" i="36" s="1"/>
  <c r="A89" i="36" s="1"/>
  <c r="A90" i="36" s="1"/>
  <c r="A91" i="36" s="1"/>
  <c r="A92" i="36" s="1"/>
  <c r="A93" i="36" s="1"/>
  <c r="A94" i="36" s="1"/>
  <c r="A95" i="36" s="1"/>
  <c r="A96" i="36" s="1"/>
  <c r="A97" i="36" s="1"/>
  <c r="A98" i="36" s="1"/>
  <c r="A99" i="36" s="1"/>
  <c r="A100" i="36" s="1"/>
  <c r="A101" i="36" s="1"/>
  <c r="A102" i="36" s="1"/>
  <c r="A103" i="36" s="1"/>
  <c r="A104" i="36" s="1"/>
  <c r="A105" i="36" s="1"/>
  <c r="A106" i="36" s="1"/>
  <c r="A107" i="36" s="1"/>
  <c r="A108" i="36" s="1"/>
  <c r="A109" i="36" s="1"/>
  <c r="A110" i="36" s="1"/>
  <c r="A111" i="36" s="1"/>
  <c r="A112" i="36" s="1"/>
  <c r="A113" i="36" s="1"/>
  <c r="A114" i="36" s="1"/>
  <c r="A115" i="36" s="1"/>
  <c r="A116" i="36" s="1"/>
  <c r="A117" i="36" s="1"/>
  <c r="A118" i="36" s="1"/>
  <c r="A119" i="36" s="1"/>
  <c r="A120" i="36" s="1"/>
  <c r="A121" i="36" s="1"/>
  <c r="A122" i="36" s="1"/>
  <c r="A123" i="36" s="1"/>
  <c r="A124" i="36" s="1"/>
  <c r="A125" i="36" s="1"/>
  <c r="A126" i="36" s="1"/>
  <c r="A127" i="36" s="1"/>
  <c r="A128" i="36" s="1"/>
  <c r="A129" i="36" s="1"/>
  <c r="A130" i="36" s="1"/>
  <c r="A131" i="36" s="1"/>
  <c r="A132" i="36" s="1"/>
  <c r="I17" i="36"/>
  <c r="I16" i="36"/>
  <c r="I15" i="36"/>
  <c r="I14" i="36"/>
  <c r="I13" i="36"/>
  <c r="I12" i="36"/>
  <c r="I11" i="36"/>
  <c r="I10" i="36"/>
  <c r="I9" i="36"/>
  <c r="I8" i="36"/>
  <c r="I7" i="36"/>
  <c r="I6" i="36"/>
  <c r="I5" i="36"/>
  <c r="A5" i="36"/>
  <c r="A6" i="36" s="1"/>
  <c r="A7" i="36" s="1"/>
  <c r="A8" i="36" s="1"/>
  <c r="A9" i="36" s="1"/>
  <c r="A10" i="36" s="1"/>
  <c r="A11" i="36" s="1"/>
  <c r="A12" i="36" s="1"/>
  <c r="A13" i="36" s="1"/>
  <c r="A14" i="36" s="1"/>
  <c r="A15" i="36" s="1"/>
  <c r="A16" i="36" s="1"/>
  <c r="I4" i="36"/>
  <c r="U125" i="35"/>
  <c r="T125" i="35"/>
  <c r="R125" i="35"/>
  <c r="P125" i="35"/>
  <c r="T124" i="35"/>
  <c r="R124" i="35"/>
  <c r="P124" i="35"/>
  <c r="U123" i="35"/>
  <c r="T123" i="35"/>
  <c r="R123" i="35"/>
  <c r="P123" i="35"/>
  <c r="U122" i="35"/>
  <c r="T122" i="35"/>
  <c r="R122" i="35"/>
  <c r="P122" i="35"/>
  <c r="G119" i="35"/>
  <c r="G118" i="35"/>
  <c r="G117" i="35"/>
  <c r="G116" i="35"/>
  <c r="W114" i="35"/>
  <c r="U113" i="35"/>
  <c r="L113" i="35" s="1"/>
  <c r="U128" i="35" s="1"/>
  <c r="T112" i="35"/>
  <c r="L112" i="35" s="1"/>
  <c r="T128" i="35" s="1"/>
  <c r="R111" i="35"/>
  <c r="L111" i="35" s="1"/>
  <c r="R128" i="35" s="1"/>
  <c r="P110" i="35"/>
  <c r="G108" i="35"/>
  <c r="G105" i="35"/>
  <c r="G104" i="35"/>
  <c r="G100" i="35"/>
  <c r="G99" i="35"/>
  <c r="G98" i="35"/>
  <c r="G97" i="35"/>
  <c r="G96" i="35"/>
  <c r="G95" i="35"/>
  <c r="G94" i="35"/>
  <c r="G93" i="35"/>
  <c r="G92" i="35"/>
  <c r="G91" i="35"/>
  <c r="G90" i="35"/>
  <c r="G89" i="35"/>
  <c r="G88" i="35"/>
  <c r="G87" i="35"/>
  <c r="G86" i="35"/>
  <c r="G85" i="35"/>
  <c r="G84" i="35"/>
  <c r="G83" i="35"/>
  <c r="G80" i="35"/>
  <c r="G79" i="35"/>
  <c r="G78" i="35"/>
  <c r="G77" i="35"/>
  <c r="G76" i="35"/>
  <c r="G75" i="35"/>
  <c r="G74" i="35"/>
  <c r="G73" i="35"/>
  <c r="G72" i="35"/>
  <c r="G71" i="35"/>
  <c r="G70" i="35"/>
  <c r="G69" i="35"/>
  <c r="G68" i="35"/>
  <c r="G67" i="35"/>
  <c r="G66" i="35"/>
  <c r="G65" i="35"/>
  <c r="G62" i="35"/>
  <c r="G61" i="35"/>
  <c r="G60" i="35"/>
  <c r="G59" i="35"/>
  <c r="G58" i="35"/>
  <c r="G57" i="35"/>
  <c r="G56" i="35"/>
  <c r="G55" i="35"/>
  <c r="G54" i="35"/>
  <c r="G53" i="35"/>
  <c r="G52" i="35"/>
  <c r="G51" i="35"/>
  <c r="G50" i="35"/>
  <c r="G49" i="35"/>
  <c r="G48" i="35"/>
  <c r="G47" i="35"/>
  <c r="G46" i="35"/>
  <c r="G45" i="35"/>
  <c r="G44" i="35"/>
  <c r="G43" i="35"/>
  <c r="G42" i="35"/>
  <c r="G41" i="35"/>
  <c r="G40" i="35"/>
  <c r="G39" i="35"/>
  <c r="G38" i="35"/>
  <c r="G37" i="35"/>
  <c r="G34" i="35"/>
  <c r="G33" i="35"/>
  <c r="G32" i="35"/>
  <c r="G31" i="35"/>
  <c r="G30" i="35"/>
  <c r="G29" i="35"/>
  <c r="G28" i="35"/>
  <c r="G27" i="35"/>
  <c r="G26" i="35"/>
  <c r="G25" i="35"/>
  <c r="G24" i="35"/>
  <c r="G23" i="35"/>
  <c r="G22" i="35"/>
  <c r="G21" i="35"/>
  <c r="G20" i="35"/>
  <c r="G19" i="35"/>
  <c r="G18" i="35"/>
  <c r="G17" i="35"/>
  <c r="G16" i="35"/>
  <c r="G15" i="35"/>
  <c r="G14" i="35"/>
  <c r="G13" i="35"/>
  <c r="G12" i="35"/>
  <c r="G11" i="35"/>
  <c r="G9" i="35"/>
  <c r="U4" i="35"/>
  <c r="U3" i="35" s="1"/>
  <c r="T4" i="35"/>
  <c r="T3" i="35" s="1"/>
  <c r="Q4" i="35"/>
  <c r="Q3" i="35" s="1"/>
  <c r="O4" i="35"/>
  <c r="O3" i="35" s="1"/>
  <c r="M4" i="35"/>
  <c r="M3" i="35" s="1"/>
  <c r="P93" i="34"/>
  <c r="M92" i="34"/>
  <c r="L92" i="34"/>
  <c r="K92" i="34"/>
  <c r="J92" i="34"/>
  <c r="I92" i="34"/>
  <c r="H92" i="34"/>
  <c r="G92" i="34"/>
  <c r="F92" i="34"/>
  <c r="E92" i="34"/>
  <c r="D92" i="34"/>
  <c r="C92" i="34"/>
  <c r="A92" i="34"/>
  <c r="M91" i="34"/>
  <c r="L91" i="34"/>
  <c r="K91" i="34"/>
  <c r="J91" i="34"/>
  <c r="I91" i="34"/>
  <c r="H91" i="34"/>
  <c r="G91" i="34"/>
  <c r="F91" i="34"/>
  <c r="E91" i="34"/>
  <c r="D91" i="34"/>
  <c r="C91" i="34"/>
  <c r="A91" i="34"/>
  <c r="M90" i="34"/>
  <c r="L90" i="34"/>
  <c r="K90" i="34"/>
  <c r="J90" i="34"/>
  <c r="I90" i="34"/>
  <c r="H90" i="34"/>
  <c r="G90" i="34"/>
  <c r="F90" i="34"/>
  <c r="E90" i="34"/>
  <c r="D90" i="34"/>
  <c r="C90" i="34"/>
  <c r="A90" i="34"/>
  <c r="M89" i="34"/>
  <c r="L89" i="34"/>
  <c r="K89" i="34"/>
  <c r="J89" i="34"/>
  <c r="I89" i="34"/>
  <c r="H89" i="34"/>
  <c r="G89" i="34"/>
  <c r="F89" i="34"/>
  <c r="E89" i="34"/>
  <c r="D89" i="34"/>
  <c r="C89" i="34"/>
  <c r="A89" i="34"/>
  <c r="M88" i="34"/>
  <c r="L88" i="34"/>
  <c r="K88" i="34"/>
  <c r="J88" i="34"/>
  <c r="I88" i="34"/>
  <c r="H88" i="34"/>
  <c r="G88" i="34"/>
  <c r="F88" i="34"/>
  <c r="E88" i="34"/>
  <c r="D88" i="34"/>
  <c r="C88" i="34"/>
  <c r="A88" i="34"/>
  <c r="S86" i="34"/>
  <c r="R86" i="34"/>
  <c r="Q86" i="34"/>
  <c r="P86" i="34"/>
  <c r="O86" i="34"/>
  <c r="M82" i="34"/>
  <c r="L82" i="34"/>
  <c r="K82" i="34"/>
  <c r="J82" i="34"/>
  <c r="I82" i="34"/>
  <c r="H82" i="34"/>
  <c r="G82" i="34"/>
  <c r="F82" i="34"/>
  <c r="E82" i="34"/>
  <c r="D82" i="34"/>
  <c r="C82" i="34"/>
  <c r="A82" i="34"/>
  <c r="M81" i="34"/>
  <c r="L81" i="34"/>
  <c r="K81" i="34"/>
  <c r="J81" i="34"/>
  <c r="I81" i="34"/>
  <c r="H81" i="34"/>
  <c r="G81" i="34"/>
  <c r="F81" i="34"/>
  <c r="E81" i="34"/>
  <c r="D81" i="34"/>
  <c r="C81" i="34"/>
  <c r="A81" i="34"/>
  <c r="M80" i="34"/>
  <c r="L80" i="34"/>
  <c r="K80" i="34"/>
  <c r="J80" i="34"/>
  <c r="I80" i="34"/>
  <c r="H80" i="34"/>
  <c r="G80" i="34"/>
  <c r="F80" i="34"/>
  <c r="E80" i="34"/>
  <c r="D80" i="34"/>
  <c r="C80" i="34"/>
  <c r="A80" i="34"/>
  <c r="M79" i="34"/>
  <c r="L79" i="34"/>
  <c r="K79" i="34"/>
  <c r="J79" i="34"/>
  <c r="I79" i="34"/>
  <c r="H79" i="34"/>
  <c r="G79" i="34"/>
  <c r="F79" i="34"/>
  <c r="E79" i="34"/>
  <c r="D79" i="34"/>
  <c r="C79" i="34"/>
  <c r="A79" i="34"/>
  <c r="M78" i="34"/>
  <c r="L78" i="34"/>
  <c r="K78" i="34"/>
  <c r="J78" i="34"/>
  <c r="I78" i="34"/>
  <c r="H78" i="34"/>
  <c r="G78" i="34"/>
  <c r="F78" i="34"/>
  <c r="E78" i="34"/>
  <c r="D78" i="34"/>
  <c r="C78" i="34"/>
  <c r="A78" i="34"/>
  <c r="M77" i="34"/>
  <c r="L77" i="34"/>
  <c r="K77" i="34"/>
  <c r="J77" i="34"/>
  <c r="I77" i="34"/>
  <c r="H77" i="34"/>
  <c r="G77" i="34"/>
  <c r="F77" i="34"/>
  <c r="E77" i="34"/>
  <c r="D77" i="34"/>
  <c r="C77" i="34"/>
  <c r="A77" i="34"/>
  <c r="M76" i="34"/>
  <c r="L76" i="34"/>
  <c r="K76" i="34"/>
  <c r="J76" i="34"/>
  <c r="I76" i="34"/>
  <c r="H76" i="34"/>
  <c r="G76" i="34"/>
  <c r="F76" i="34"/>
  <c r="E76" i="34"/>
  <c r="D76" i="34"/>
  <c r="C76" i="34"/>
  <c r="A76" i="34"/>
  <c r="M75" i="34"/>
  <c r="L75" i="34"/>
  <c r="K75" i="34"/>
  <c r="J75" i="34"/>
  <c r="I75" i="34"/>
  <c r="H75" i="34"/>
  <c r="G75" i="34"/>
  <c r="F75" i="34"/>
  <c r="E75" i="34"/>
  <c r="D75" i="34"/>
  <c r="C75" i="34"/>
  <c r="A75" i="34"/>
  <c r="M74" i="34"/>
  <c r="L74" i="34"/>
  <c r="K74" i="34"/>
  <c r="J74" i="34"/>
  <c r="I74" i="34"/>
  <c r="H74" i="34"/>
  <c r="G74" i="34"/>
  <c r="F74" i="34"/>
  <c r="E74" i="34"/>
  <c r="D74" i="34"/>
  <c r="C74" i="34"/>
  <c r="A74" i="34"/>
  <c r="M73" i="34"/>
  <c r="L73" i="34"/>
  <c r="K73" i="34"/>
  <c r="J73" i="34"/>
  <c r="I73" i="34"/>
  <c r="H73" i="34"/>
  <c r="G73" i="34"/>
  <c r="F73" i="34"/>
  <c r="E73" i="34"/>
  <c r="D73" i="34"/>
  <c r="C73" i="34"/>
  <c r="A73" i="34"/>
  <c r="M72" i="34"/>
  <c r="L72" i="34"/>
  <c r="K72" i="34"/>
  <c r="J72" i="34"/>
  <c r="I72" i="34"/>
  <c r="H72" i="34"/>
  <c r="G72" i="34"/>
  <c r="F72" i="34"/>
  <c r="E72" i="34"/>
  <c r="D72" i="34"/>
  <c r="C72" i="34"/>
  <c r="A72" i="34"/>
  <c r="M71" i="34"/>
  <c r="L71" i="34"/>
  <c r="K71" i="34"/>
  <c r="J71" i="34"/>
  <c r="I71" i="34"/>
  <c r="H71" i="34"/>
  <c r="G71" i="34"/>
  <c r="F71" i="34"/>
  <c r="E71" i="34"/>
  <c r="D71" i="34"/>
  <c r="C71" i="34"/>
  <c r="A71" i="34"/>
  <c r="M70" i="34"/>
  <c r="L70" i="34"/>
  <c r="K70" i="34"/>
  <c r="J70" i="34"/>
  <c r="I70" i="34"/>
  <c r="H70" i="34"/>
  <c r="G70" i="34"/>
  <c r="F70" i="34"/>
  <c r="E70" i="34"/>
  <c r="D70" i="34"/>
  <c r="C70" i="34"/>
  <c r="A70" i="34"/>
  <c r="M69" i="34"/>
  <c r="L69" i="34"/>
  <c r="K69" i="34"/>
  <c r="J69" i="34"/>
  <c r="I69" i="34"/>
  <c r="H69" i="34"/>
  <c r="G69" i="34"/>
  <c r="F69" i="34"/>
  <c r="E69" i="34"/>
  <c r="D69" i="34"/>
  <c r="C69" i="34"/>
  <c r="A69" i="34"/>
  <c r="M68" i="34"/>
  <c r="L68" i="34"/>
  <c r="K68" i="34"/>
  <c r="J68" i="34"/>
  <c r="I68" i="34"/>
  <c r="H68" i="34"/>
  <c r="G68" i="34"/>
  <c r="F68" i="34"/>
  <c r="E68" i="34"/>
  <c r="D68" i="34"/>
  <c r="C68" i="34"/>
  <c r="A68" i="34"/>
  <c r="M67" i="34"/>
  <c r="L67" i="34"/>
  <c r="K67" i="34"/>
  <c r="J67" i="34"/>
  <c r="I67" i="34"/>
  <c r="H67" i="34"/>
  <c r="G67" i="34"/>
  <c r="F67" i="34"/>
  <c r="E67" i="34"/>
  <c r="D67" i="34"/>
  <c r="C67" i="34"/>
  <c r="A67" i="34"/>
  <c r="M66" i="34"/>
  <c r="L66" i="34"/>
  <c r="K66" i="34"/>
  <c r="J66" i="34"/>
  <c r="I66" i="34"/>
  <c r="H66" i="34"/>
  <c r="G66" i="34"/>
  <c r="F66" i="34"/>
  <c r="E66" i="34"/>
  <c r="D66" i="34"/>
  <c r="C66" i="34"/>
  <c r="A66" i="34"/>
  <c r="M65" i="34"/>
  <c r="L65" i="34"/>
  <c r="K65" i="34"/>
  <c r="J65" i="34"/>
  <c r="I65" i="34"/>
  <c r="H65" i="34"/>
  <c r="G65" i="34"/>
  <c r="F65" i="34"/>
  <c r="E65" i="34"/>
  <c r="D65" i="34"/>
  <c r="C65" i="34"/>
  <c r="A65" i="34"/>
  <c r="M64" i="34"/>
  <c r="L64" i="34"/>
  <c r="K64" i="34"/>
  <c r="J64" i="34"/>
  <c r="I64" i="34"/>
  <c r="H64" i="34"/>
  <c r="G64" i="34"/>
  <c r="F64" i="34"/>
  <c r="E64" i="34"/>
  <c r="D64" i="34"/>
  <c r="C64" i="34"/>
  <c r="A64" i="34"/>
  <c r="M63" i="34"/>
  <c r="L63" i="34"/>
  <c r="K63" i="34"/>
  <c r="J63" i="34"/>
  <c r="I63" i="34"/>
  <c r="H63" i="34"/>
  <c r="G63" i="34"/>
  <c r="F63" i="34"/>
  <c r="E63" i="34"/>
  <c r="D63" i="34"/>
  <c r="C63" i="34"/>
  <c r="A63" i="34"/>
  <c r="M62" i="34"/>
  <c r="L62" i="34"/>
  <c r="K62" i="34"/>
  <c r="J62" i="34"/>
  <c r="I62" i="34"/>
  <c r="H62" i="34"/>
  <c r="G62" i="34"/>
  <c r="F62" i="34"/>
  <c r="E62" i="34"/>
  <c r="D62" i="34"/>
  <c r="C62" i="34"/>
  <c r="A62" i="34"/>
  <c r="M61" i="34"/>
  <c r="L61" i="34"/>
  <c r="K61" i="34"/>
  <c r="J61" i="34"/>
  <c r="I61" i="34"/>
  <c r="H61" i="34"/>
  <c r="G61" i="34"/>
  <c r="F61" i="34"/>
  <c r="E61" i="34"/>
  <c r="D61" i="34"/>
  <c r="C61" i="34"/>
  <c r="A61" i="34"/>
  <c r="M60" i="34"/>
  <c r="L60" i="34"/>
  <c r="K60" i="34"/>
  <c r="J60" i="34"/>
  <c r="I60" i="34"/>
  <c r="H60" i="34"/>
  <c r="G60" i="34"/>
  <c r="F60" i="34"/>
  <c r="E60" i="34"/>
  <c r="D60" i="34"/>
  <c r="C60" i="34"/>
  <c r="A60" i="34"/>
  <c r="M59" i="34"/>
  <c r="L59" i="34"/>
  <c r="K59" i="34"/>
  <c r="J59" i="34"/>
  <c r="I59" i="34"/>
  <c r="H59" i="34"/>
  <c r="G59" i="34"/>
  <c r="F59" i="34"/>
  <c r="E59" i="34"/>
  <c r="D59" i="34"/>
  <c r="C59" i="34"/>
  <c r="A59" i="34"/>
  <c r="M58" i="34"/>
  <c r="L58" i="34"/>
  <c r="K58" i="34"/>
  <c r="J58" i="34"/>
  <c r="I58" i="34"/>
  <c r="H58" i="34"/>
  <c r="G58" i="34"/>
  <c r="F58" i="34"/>
  <c r="E58" i="34"/>
  <c r="D58" i="34"/>
  <c r="C58" i="34"/>
  <c r="A58" i="34"/>
  <c r="M57" i="34"/>
  <c r="L57" i="34"/>
  <c r="K57" i="34"/>
  <c r="J57" i="34"/>
  <c r="I57" i="34"/>
  <c r="H57" i="34"/>
  <c r="G57" i="34"/>
  <c r="F57" i="34"/>
  <c r="E57" i="34"/>
  <c r="D57" i="34"/>
  <c r="C57" i="34"/>
  <c r="A57" i="34"/>
  <c r="M56" i="34"/>
  <c r="L56" i="34"/>
  <c r="K56" i="34"/>
  <c r="J56" i="34"/>
  <c r="I56" i="34"/>
  <c r="H56" i="34"/>
  <c r="G56" i="34"/>
  <c r="F56" i="34"/>
  <c r="E56" i="34"/>
  <c r="D56" i="34"/>
  <c r="C56" i="34"/>
  <c r="A56" i="34"/>
  <c r="M55" i="34"/>
  <c r="L55" i="34"/>
  <c r="K55" i="34"/>
  <c r="J55" i="34"/>
  <c r="I55" i="34"/>
  <c r="H55" i="34"/>
  <c r="G55" i="34"/>
  <c r="F55" i="34"/>
  <c r="E55" i="34"/>
  <c r="D55" i="34"/>
  <c r="C55" i="34"/>
  <c r="A55" i="34"/>
  <c r="M54" i="34"/>
  <c r="L54" i="34"/>
  <c r="K54" i="34"/>
  <c r="J54" i="34"/>
  <c r="I54" i="34"/>
  <c r="H54" i="34"/>
  <c r="G54" i="34"/>
  <c r="F54" i="34"/>
  <c r="E54" i="34"/>
  <c r="D54" i="34"/>
  <c r="C54" i="34"/>
  <c r="A54" i="34"/>
  <c r="M53" i="34"/>
  <c r="L53" i="34"/>
  <c r="K53" i="34"/>
  <c r="J53" i="34"/>
  <c r="I53" i="34"/>
  <c r="H53" i="34"/>
  <c r="G53" i="34"/>
  <c r="F53" i="34"/>
  <c r="E53" i="34"/>
  <c r="D53" i="34"/>
  <c r="C53" i="34"/>
  <c r="A53" i="34"/>
  <c r="M52" i="34"/>
  <c r="L52" i="34"/>
  <c r="K52" i="34"/>
  <c r="J52" i="34"/>
  <c r="I52" i="34"/>
  <c r="H52" i="34"/>
  <c r="G52" i="34"/>
  <c r="F52" i="34"/>
  <c r="E52" i="34"/>
  <c r="D52" i="34"/>
  <c r="C52" i="34"/>
  <c r="A52" i="34"/>
  <c r="M51" i="34"/>
  <c r="L51" i="34"/>
  <c r="K51" i="34"/>
  <c r="J51" i="34"/>
  <c r="I51" i="34"/>
  <c r="H51" i="34"/>
  <c r="G51" i="34"/>
  <c r="F51" i="34"/>
  <c r="E51" i="34"/>
  <c r="D51" i="34"/>
  <c r="C51" i="34"/>
  <c r="A51" i="34"/>
  <c r="M50" i="34"/>
  <c r="L50" i="34"/>
  <c r="K50" i="34"/>
  <c r="J50" i="34"/>
  <c r="I50" i="34"/>
  <c r="H50" i="34"/>
  <c r="G50" i="34"/>
  <c r="F50" i="34"/>
  <c r="E50" i="34"/>
  <c r="D50" i="34"/>
  <c r="C50" i="34"/>
  <c r="A50" i="34"/>
  <c r="M49" i="34"/>
  <c r="L49" i="34"/>
  <c r="K49" i="34"/>
  <c r="J49" i="34"/>
  <c r="I49" i="34"/>
  <c r="H49" i="34"/>
  <c r="G49" i="34"/>
  <c r="F49" i="34"/>
  <c r="E49" i="34"/>
  <c r="D49" i="34"/>
  <c r="C49" i="34"/>
  <c r="A49" i="34"/>
  <c r="M48" i="34"/>
  <c r="L48" i="34"/>
  <c r="K48" i="34"/>
  <c r="J48" i="34"/>
  <c r="I48" i="34"/>
  <c r="H48" i="34"/>
  <c r="G48" i="34"/>
  <c r="F48" i="34"/>
  <c r="E48" i="34"/>
  <c r="D48" i="34"/>
  <c r="C48" i="34"/>
  <c r="A48" i="34"/>
  <c r="M47" i="34"/>
  <c r="L47" i="34"/>
  <c r="K47" i="34"/>
  <c r="J47" i="34"/>
  <c r="I47" i="34"/>
  <c r="H47" i="34"/>
  <c r="G47" i="34"/>
  <c r="F47" i="34"/>
  <c r="E47" i="34"/>
  <c r="D47" i="34"/>
  <c r="C47" i="34"/>
  <c r="A47" i="34"/>
  <c r="M46" i="34"/>
  <c r="L46" i="34"/>
  <c r="K46" i="34"/>
  <c r="J46" i="34"/>
  <c r="I46" i="34"/>
  <c r="H46" i="34"/>
  <c r="G46" i="34"/>
  <c r="F46" i="34"/>
  <c r="E46" i="34"/>
  <c r="D46" i="34"/>
  <c r="C46" i="34"/>
  <c r="A46" i="34"/>
  <c r="M45" i="34"/>
  <c r="L45" i="34"/>
  <c r="K45" i="34"/>
  <c r="J45" i="34"/>
  <c r="I45" i="34"/>
  <c r="H45" i="34"/>
  <c r="G45" i="34"/>
  <c r="F45" i="34"/>
  <c r="E45" i="34"/>
  <c r="D45" i="34"/>
  <c r="C45" i="34"/>
  <c r="A45" i="34"/>
  <c r="M44" i="34"/>
  <c r="L44" i="34"/>
  <c r="K44" i="34"/>
  <c r="J44" i="34"/>
  <c r="I44" i="34"/>
  <c r="H44" i="34"/>
  <c r="G44" i="34"/>
  <c r="F44" i="34"/>
  <c r="E44" i="34"/>
  <c r="D44" i="34"/>
  <c r="C44" i="34"/>
  <c r="A44" i="34"/>
  <c r="M43" i="34"/>
  <c r="L43" i="34"/>
  <c r="K43" i="34"/>
  <c r="J43" i="34"/>
  <c r="I43" i="34"/>
  <c r="H43" i="34"/>
  <c r="G43" i="34"/>
  <c r="F43" i="34"/>
  <c r="E43" i="34"/>
  <c r="D43" i="34"/>
  <c r="C43" i="34"/>
  <c r="A43" i="34"/>
  <c r="M42" i="34"/>
  <c r="L42" i="34"/>
  <c r="K42" i="34"/>
  <c r="J42" i="34"/>
  <c r="I42" i="34"/>
  <c r="H42" i="34"/>
  <c r="G42" i="34"/>
  <c r="F42" i="34"/>
  <c r="E42" i="34"/>
  <c r="D42" i="34"/>
  <c r="C42" i="34"/>
  <c r="A42" i="34"/>
  <c r="M41" i="34"/>
  <c r="L41" i="34"/>
  <c r="K41" i="34"/>
  <c r="J41" i="34"/>
  <c r="I41" i="34"/>
  <c r="H41" i="34"/>
  <c r="G41" i="34"/>
  <c r="F41" i="34"/>
  <c r="E41" i="34"/>
  <c r="D41" i="34"/>
  <c r="C41" i="34"/>
  <c r="A41" i="34"/>
  <c r="M40" i="34"/>
  <c r="L40" i="34"/>
  <c r="K40" i="34"/>
  <c r="J40" i="34"/>
  <c r="I40" i="34"/>
  <c r="H40" i="34"/>
  <c r="G40" i="34"/>
  <c r="F40" i="34"/>
  <c r="E40" i="34"/>
  <c r="D40" i="34"/>
  <c r="C40" i="34"/>
  <c r="A40" i="34"/>
  <c r="M39" i="34"/>
  <c r="L39" i="34"/>
  <c r="K39" i="34"/>
  <c r="J39" i="34"/>
  <c r="I39" i="34"/>
  <c r="H39" i="34"/>
  <c r="G39" i="34"/>
  <c r="F39" i="34"/>
  <c r="E39" i="34"/>
  <c r="D39" i="34"/>
  <c r="C39" i="34"/>
  <c r="A39" i="34"/>
  <c r="M38" i="34"/>
  <c r="L38" i="34"/>
  <c r="K38" i="34"/>
  <c r="J38" i="34"/>
  <c r="I38" i="34"/>
  <c r="H38" i="34"/>
  <c r="G38" i="34"/>
  <c r="F38" i="34"/>
  <c r="E38" i="34"/>
  <c r="D38" i="34"/>
  <c r="C38" i="34"/>
  <c r="A38" i="34"/>
  <c r="M37" i="34"/>
  <c r="L37" i="34"/>
  <c r="K37" i="34"/>
  <c r="J37" i="34"/>
  <c r="I37" i="34"/>
  <c r="H37" i="34"/>
  <c r="G37" i="34"/>
  <c r="F37" i="34"/>
  <c r="E37" i="34"/>
  <c r="D37" i="34"/>
  <c r="C37" i="34"/>
  <c r="A37" i="34"/>
  <c r="M36" i="34"/>
  <c r="L36" i="34"/>
  <c r="K36" i="34"/>
  <c r="J36" i="34"/>
  <c r="I36" i="34"/>
  <c r="H36" i="34"/>
  <c r="G36" i="34"/>
  <c r="F36" i="34"/>
  <c r="E36" i="34"/>
  <c r="D36" i="34"/>
  <c r="C36" i="34"/>
  <c r="A36" i="34"/>
  <c r="M35" i="34"/>
  <c r="L35" i="34"/>
  <c r="K35" i="34"/>
  <c r="J35" i="34"/>
  <c r="I35" i="34"/>
  <c r="H35" i="34"/>
  <c r="G35" i="34"/>
  <c r="F35" i="34"/>
  <c r="E35" i="34"/>
  <c r="D35" i="34"/>
  <c r="C35" i="34"/>
  <c r="A35" i="34"/>
  <c r="M34" i="34"/>
  <c r="L34" i="34"/>
  <c r="K34" i="34"/>
  <c r="J34" i="34"/>
  <c r="I34" i="34"/>
  <c r="H34" i="34"/>
  <c r="G34" i="34"/>
  <c r="F34" i="34"/>
  <c r="E34" i="34"/>
  <c r="D34" i="34"/>
  <c r="C34" i="34"/>
  <c r="A34" i="34"/>
  <c r="M33" i="34"/>
  <c r="L33" i="34"/>
  <c r="K33" i="34"/>
  <c r="J33" i="34"/>
  <c r="I33" i="34"/>
  <c r="H33" i="34"/>
  <c r="G33" i="34"/>
  <c r="F33" i="34"/>
  <c r="E33" i="34"/>
  <c r="D33" i="34"/>
  <c r="C33" i="34"/>
  <c r="A33" i="34"/>
  <c r="M32" i="34"/>
  <c r="L32" i="34"/>
  <c r="K32" i="34"/>
  <c r="J32" i="34"/>
  <c r="I32" i="34"/>
  <c r="H32" i="34"/>
  <c r="G32" i="34"/>
  <c r="F32" i="34"/>
  <c r="E32" i="34"/>
  <c r="D32" i="34"/>
  <c r="C32" i="34"/>
  <c r="A32" i="34"/>
  <c r="M31" i="34"/>
  <c r="L31" i="34"/>
  <c r="K31" i="34"/>
  <c r="J31" i="34"/>
  <c r="I31" i="34"/>
  <c r="H31" i="34"/>
  <c r="G31" i="34"/>
  <c r="F31" i="34"/>
  <c r="E31" i="34"/>
  <c r="D31" i="34"/>
  <c r="C31" i="34"/>
  <c r="A31" i="34"/>
  <c r="M30" i="34"/>
  <c r="L30" i="34"/>
  <c r="K30" i="34"/>
  <c r="J30" i="34"/>
  <c r="I30" i="34"/>
  <c r="H30" i="34"/>
  <c r="G30" i="34"/>
  <c r="F30" i="34"/>
  <c r="E30" i="34"/>
  <c r="D30" i="34"/>
  <c r="C30" i="34"/>
  <c r="A30" i="34"/>
  <c r="M29" i="34"/>
  <c r="L29" i="34"/>
  <c r="K29" i="34"/>
  <c r="J29" i="34"/>
  <c r="I29" i="34"/>
  <c r="H29" i="34"/>
  <c r="G29" i="34"/>
  <c r="F29" i="34"/>
  <c r="E29" i="34"/>
  <c r="D29" i="34"/>
  <c r="C29" i="34"/>
  <c r="A29" i="34"/>
  <c r="M28" i="34"/>
  <c r="L28" i="34"/>
  <c r="K28" i="34"/>
  <c r="J28" i="34"/>
  <c r="I28" i="34"/>
  <c r="H28" i="34"/>
  <c r="G28" i="34"/>
  <c r="F28" i="34"/>
  <c r="E28" i="34"/>
  <c r="D28" i="34"/>
  <c r="C28" i="34"/>
  <c r="A28" i="34"/>
  <c r="M27" i="34"/>
  <c r="L27" i="34"/>
  <c r="K27" i="34"/>
  <c r="J27" i="34"/>
  <c r="I27" i="34"/>
  <c r="H27" i="34"/>
  <c r="G27" i="34"/>
  <c r="F27" i="34"/>
  <c r="E27" i="34"/>
  <c r="D27" i="34"/>
  <c r="C27" i="34"/>
  <c r="A27" i="34"/>
  <c r="M26" i="34"/>
  <c r="L26" i="34"/>
  <c r="K26" i="34"/>
  <c r="J26" i="34"/>
  <c r="I26" i="34"/>
  <c r="H26" i="34"/>
  <c r="G26" i="34"/>
  <c r="F26" i="34"/>
  <c r="E26" i="34"/>
  <c r="D26" i="34"/>
  <c r="C26" i="34"/>
  <c r="A26" i="34"/>
  <c r="M25" i="34"/>
  <c r="L25" i="34"/>
  <c r="K25" i="34"/>
  <c r="J25" i="34"/>
  <c r="I25" i="34"/>
  <c r="H25" i="34"/>
  <c r="G25" i="34"/>
  <c r="F25" i="34"/>
  <c r="E25" i="34"/>
  <c r="D25" i="34"/>
  <c r="C25" i="34"/>
  <c r="A25" i="34"/>
  <c r="M24" i="34"/>
  <c r="L24" i="34"/>
  <c r="K24" i="34"/>
  <c r="J24" i="34"/>
  <c r="I24" i="34"/>
  <c r="H24" i="34"/>
  <c r="G24" i="34"/>
  <c r="F24" i="34"/>
  <c r="E24" i="34"/>
  <c r="D24" i="34"/>
  <c r="C24" i="34"/>
  <c r="A24" i="34"/>
  <c r="M23" i="34"/>
  <c r="L23" i="34"/>
  <c r="K23" i="34"/>
  <c r="J23" i="34"/>
  <c r="I23" i="34"/>
  <c r="H23" i="34"/>
  <c r="G23" i="34"/>
  <c r="F23" i="34"/>
  <c r="E23" i="34"/>
  <c r="D23" i="34"/>
  <c r="C23" i="34"/>
  <c r="A23" i="34"/>
  <c r="M22" i="34"/>
  <c r="L22" i="34"/>
  <c r="K22" i="34"/>
  <c r="J22" i="34"/>
  <c r="I22" i="34"/>
  <c r="H22" i="34"/>
  <c r="G22" i="34"/>
  <c r="F22" i="34"/>
  <c r="E22" i="34"/>
  <c r="D22" i="34"/>
  <c r="C22" i="34"/>
  <c r="A22" i="34"/>
  <c r="M21" i="34"/>
  <c r="L21" i="34"/>
  <c r="K21" i="34"/>
  <c r="J21" i="34"/>
  <c r="I21" i="34"/>
  <c r="H21" i="34"/>
  <c r="G21" i="34"/>
  <c r="F21" i="34"/>
  <c r="E21" i="34"/>
  <c r="D21" i="34"/>
  <c r="C21" i="34"/>
  <c r="A21" i="34"/>
  <c r="M20" i="34"/>
  <c r="L20" i="34"/>
  <c r="K20" i="34"/>
  <c r="J20" i="34"/>
  <c r="I20" i="34"/>
  <c r="H20" i="34"/>
  <c r="G20" i="34"/>
  <c r="F20" i="34"/>
  <c r="E20" i="34"/>
  <c r="D20" i="34"/>
  <c r="C20" i="34"/>
  <c r="A20" i="34"/>
  <c r="M19" i="34"/>
  <c r="L19" i="34"/>
  <c r="K19" i="34"/>
  <c r="J19" i="34"/>
  <c r="I19" i="34"/>
  <c r="H19" i="34"/>
  <c r="G19" i="34"/>
  <c r="F19" i="34"/>
  <c r="E19" i="34"/>
  <c r="D19" i="34"/>
  <c r="C19" i="34"/>
  <c r="A19" i="34"/>
  <c r="M18" i="34"/>
  <c r="L18" i="34"/>
  <c r="K18" i="34"/>
  <c r="J18" i="34"/>
  <c r="I18" i="34"/>
  <c r="H18" i="34"/>
  <c r="G18" i="34"/>
  <c r="F18" i="34"/>
  <c r="E18" i="34"/>
  <c r="D18" i="34"/>
  <c r="C18" i="34"/>
  <c r="A18" i="34"/>
  <c r="M17" i="34"/>
  <c r="L17" i="34"/>
  <c r="K17" i="34"/>
  <c r="J17" i="34"/>
  <c r="I17" i="34"/>
  <c r="H17" i="34"/>
  <c r="G17" i="34"/>
  <c r="F17" i="34"/>
  <c r="E17" i="34"/>
  <c r="D17" i="34"/>
  <c r="C17" i="34"/>
  <c r="A17" i="34"/>
  <c r="M16" i="34"/>
  <c r="L16" i="34"/>
  <c r="K16" i="34"/>
  <c r="J16" i="34"/>
  <c r="I16" i="34"/>
  <c r="H16" i="34"/>
  <c r="G16" i="34"/>
  <c r="F16" i="34"/>
  <c r="E16" i="34"/>
  <c r="D16" i="34"/>
  <c r="C16" i="34"/>
  <c r="A16" i="34"/>
  <c r="M15" i="34"/>
  <c r="L15" i="34"/>
  <c r="K15" i="34"/>
  <c r="J15" i="34"/>
  <c r="I15" i="34"/>
  <c r="H15" i="34"/>
  <c r="G15" i="34"/>
  <c r="F15" i="34"/>
  <c r="E15" i="34"/>
  <c r="D15" i="34"/>
  <c r="C15" i="34"/>
  <c r="A15" i="34"/>
  <c r="M14" i="34"/>
  <c r="L14" i="34"/>
  <c r="K14" i="34"/>
  <c r="J14" i="34"/>
  <c r="I14" i="34"/>
  <c r="H14" i="34"/>
  <c r="G14" i="34"/>
  <c r="F14" i="34"/>
  <c r="E14" i="34"/>
  <c r="D14" i="34"/>
  <c r="C14" i="34"/>
  <c r="A14" i="34"/>
  <c r="M13" i="34"/>
  <c r="L13" i="34"/>
  <c r="K13" i="34"/>
  <c r="J13" i="34"/>
  <c r="I13" i="34"/>
  <c r="H13" i="34"/>
  <c r="G13" i="34"/>
  <c r="F13" i="34"/>
  <c r="E13" i="34"/>
  <c r="D13" i="34"/>
  <c r="C13" i="34"/>
  <c r="A13" i="34"/>
  <c r="M12" i="34"/>
  <c r="L12" i="34"/>
  <c r="K12" i="34"/>
  <c r="J12" i="34"/>
  <c r="I12" i="34"/>
  <c r="H12" i="34"/>
  <c r="G12" i="34"/>
  <c r="F12" i="34"/>
  <c r="E12" i="34"/>
  <c r="D12" i="34"/>
  <c r="C12" i="34"/>
  <c r="A12" i="34"/>
  <c r="M11" i="34"/>
  <c r="L11" i="34"/>
  <c r="K11" i="34"/>
  <c r="J11" i="34"/>
  <c r="I11" i="34"/>
  <c r="H11" i="34"/>
  <c r="G11" i="34"/>
  <c r="F11" i="34"/>
  <c r="E11" i="34"/>
  <c r="D11" i="34"/>
  <c r="C11" i="34"/>
  <c r="A11" i="34"/>
  <c r="M10" i="34"/>
  <c r="L10" i="34"/>
  <c r="K10" i="34"/>
  <c r="J10" i="34"/>
  <c r="I10" i="34"/>
  <c r="H10" i="34"/>
  <c r="G10" i="34"/>
  <c r="F10" i="34"/>
  <c r="E10" i="34"/>
  <c r="D10" i="34"/>
  <c r="C10" i="34"/>
  <c r="A10" i="34"/>
  <c r="M9" i="34"/>
  <c r="L9" i="34"/>
  <c r="K9" i="34"/>
  <c r="J9" i="34"/>
  <c r="I9" i="34"/>
  <c r="H9" i="34"/>
  <c r="G9" i="34"/>
  <c r="F9" i="34"/>
  <c r="E9" i="34"/>
  <c r="D9" i="34"/>
  <c r="C9" i="34"/>
  <c r="A9" i="34"/>
  <c r="M8" i="34"/>
  <c r="L8" i="34"/>
  <c r="K8" i="34"/>
  <c r="J8" i="34"/>
  <c r="I8" i="34"/>
  <c r="H8" i="34"/>
  <c r="G8" i="34"/>
  <c r="F8" i="34"/>
  <c r="E8" i="34"/>
  <c r="D8" i="34"/>
  <c r="C8" i="34"/>
  <c r="A8" i="34"/>
  <c r="M7" i="34"/>
  <c r="L7" i="34"/>
  <c r="K7" i="34"/>
  <c r="J7" i="34"/>
  <c r="I7" i="34"/>
  <c r="H7" i="34"/>
  <c r="G7" i="34"/>
  <c r="F7" i="34"/>
  <c r="E7" i="34"/>
  <c r="D7" i="34"/>
  <c r="C7" i="34"/>
  <c r="A7" i="34"/>
  <c r="M5" i="34"/>
  <c r="L5" i="34"/>
  <c r="K5" i="34"/>
  <c r="J5" i="34"/>
  <c r="I5" i="34"/>
  <c r="H5" i="34"/>
  <c r="G5" i="34"/>
  <c r="F5" i="34"/>
  <c r="E5" i="34"/>
  <c r="D5" i="34"/>
  <c r="C5" i="34"/>
  <c r="A5" i="34"/>
  <c r="M4" i="34"/>
  <c r="L4" i="34"/>
  <c r="K4" i="34"/>
  <c r="J4" i="34"/>
  <c r="I4" i="34"/>
  <c r="H4" i="34"/>
  <c r="G4" i="34"/>
  <c r="F4" i="34"/>
  <c r="E4" i="34"/>
  <c r="D4" i="34"/>
  <c r="C4" i="34"/>
  <c r="A4" i="34"/>
  <c r="M3" i="34"/>
  <c r="L3" i="34"/>
  <c r="K3" i="34"/>
  <c r="J3" i="34"/>
  <c r="I3" i="34"/>
  <c r="H3" i="34"/>
  <c r="G3" i="34"/>
  <c r="F3" i="34"/>
  <c r="E3" i="34"/>
  <c r="D3" i="34"/>
  <c r="C3" i="34"/>
  <c r="A3" i="34"/>
  <c r="I124" i="39"/>
  <c r="H123" i="39"/>
  <c r="G123" i="39"/>
  <c r="K114" i="39" l="1"/>
  <c r="K99" i="39" s="1"/>
  <c r="M114" i="39"/>
  <c r="N64" i="39"/>
  <c r="N75" i="39"/>
  <c r="U127" i="35"/>
  <c r="I94" i="39" s="1"/>
  <c r="I59" i="39" s="1"/>
  <c r="H40" i="39"/>
  <c r="E64" i="39"/>
  <c r="E41" i="39"/>
  <c r="E40" i="39" s="1"/>
  <c r="H93" i="39"/>
  <c r="H58" i="39" s="1"/>
  <c r="R127" i="35"/>
  <c r="I93" i="39"/>
  <c r="I58" i="39" s="1"/>
  <c r="T127" i="35"/>
  <c r="O64" i="39"/>
  <c r="N114" i="39"/>
  <c r="L114" i="39"/>
  <c r="L113" i="39" s="1"/>
  <c r="L110" i="35"/>
  <c r="P128" i="35" s="1"/>
  <c r="F94" i="39"/>
  <c r="F93" i="39"/>
  <c r="F58" i="39" s="1"/>
  <c r="G94" i="39"/>
  <c r="G93" i="39"/>
  <c r="G58" i="39" s="1"/>
  <c r="P127" i="35"/>
  <c r="C41" i="39"/>
  <c r="C117" i="39" s="1"/>
  <c r="O75" i="39"/>
  <c r="B114" i="39"/>
  <c r="B118" i="39" s="1"/>
  <c r="B130" i="39" s="1"/>
  <c r="G124" i="39"/>
  <c r="H124" i="39"/>
  <c r="G121" i="39"/>
  <c r="H121" i="39"/>
  <c r="H104" i="39"/>
  <c r="H69" i="39" s="1"/>
  <c r="G104" i="39"/>
  <c r="G69" i="39" s="1"/>
  <c r="K41" i="39"/>
  <c r="K40" i="39" s="1"/>
  <c r="D78" i="39"/>
  <c r="M110" i="39"/>
  <c r="M113" i="39"/>
  <c r="M37" i="39"/>
  <c r="M40" i="39"/>
  <c r="M26" i="39"/>
  <c r="L41" i="39"/>
  <c r="L37" i="39" s="1"/>
  <c r="C64" i="39"/>
  <c r="J108" i="39"/>
  <c r="J109" i="39" s="1"/>
  <c r="J114" i="39" s="1"/>
  <c r="J99" i="39" s="1"/>
  <c r="G26" i="39"/>
  <c r="D64" i="39"/>
  <c r="H26" i="39"/>
  <c r="C75" i="39"/>
  <c r="E118" i="39"/>
  <c r="E130" i="39" s="1"/>
  <c r="E110" i="39"/>
  <c r="E113" i="39"/>
  <c r="K42" i="39"/>
  <c r="K11" i="39" s="1"/>
  <c r="K13" i="39" s="1"/>
  <c r="D117" i="39"/>
  <c r="D42" i="39"/>
  <c r="D40" i="39"/>
  <c r="D26" i="39"/>
  <c r="J117" i="39"/>
  <c r="J42" i="39"/>
  <c r="J11" i="39" s="1"/>
  <c r="J40" i="39"/>
  <c r="K113" i="39"/>
  <c r="O42" i="39"/>
  <c r="O11" i="39" s="1"/>
  <c r="O13" i="39" s="1"/>
  <c r="O40" i="39"/>
  <c r="O117" i="39"/>
  <c r="O26" i="39"/>
  <c r="J64" i="39"/>
  <c r="M99" i="39"/>
  <c r="L78" i="39"/>
  <c r="K75" i="39"/>
  <c r="L75" i="39"/>
  <c r="I37" i="39"/>
  <c r="C118" i="39"/>
  <c r="C130" i="39" s="1"/>
  <c r="C110" i="39"/>
  <c r="C99" i="39"/>
  <c r="J75" i="39"/>
  <c r="B41" i="39"/>
  <c r="B37" i="39" s="1"/>
  <c r="K110" i="39"/>
  <c r="M64" i="39"/>
  <c r="M78" i="39"/>
  <c r="I117" i="39"/>
  <c r="I42" i="39"/>
  <c r="I11" i="39" s="1"/>
  <c r="K78" i="39"/>
  <c r="D37" i="39"/>
  <c r="B75" i="39"/>
  <c r="B78" i="39"/>
  <c r="H117" i="39"/>
  <c r="H42" i="39"/>
  <c r="F117" i="39"/>
  <c r="F42" i="39"/>
  <c r="J26" i="39"/>
  <c r="D114" i="39"/>
  <c r="D99" i="39" s="1"/>
  <c r="M42" i="39"/>
  <c r="M11" i="39" s="1"/>
  <c r="M13" i="39" s="1"/>
  <c r="M117" i="39"/>
  <c r="F37" i="39"/>
  <c r="E99" i="39"/>
  <c r="O114" i="39"/>
  <c r="L99" i="39"/>
  <c r="G117" i="39"/>
  <c r="G42" i="39"/>
  <c r="G40" i="39"/>
  <c r="F40" i="39"/>
  <c r="I108" i="39"/>
  <c r="I109" i="39" s="1"/>
  <c r="J37" i="39"/>
  <c r="N41" i="39"/>
  <c r="N37" i="39" s="1"/>
  <c r="I26" i="39"/>
  <c r="I122" i="39"/>
  <c r="I125" i="39" s="1"/>
  <c r="H122" i="39"/>
  <c r="F106" i="39"/>
  <c r="F71" i="39" s="1"/>
  <c r="G106" i="39"/>
  <c r="G71" i="39" s="1"/>
  <c r="G122" i="39"/>
  <c r="I133" i="36"/>
  <c r="C37" i="39" l="1"/>
  <c r="L117" i="39"/>
  <c r="I97" i="39"/>
  <c r="I62" i="39" s="1"/>
  <c r="C40" i="39"/>
  <c r="E117" i="39"/>
  <c r="E119" i="39" s="1"/>
  <c r="E26" i="39"/>
  <c r="E42" i="39"/>
  <c r="B113" i="39"/>
  <c r="E37" i="39"/>
  <c r="B110" i="39"/>
  <c r="B99" i="39"/>
  <c r="I63" i="39"/>
  <c r="I79" i="39" s="1"/>
  <c r="I98" i="39"/>
  <c r="C26" i="39"/>
  <c r="G59" i="39"/>
  <c r="G97" i="39"/>
  <c r="F97" i="39"/>
  <c r="F59" i="39"/>
  <c r="N99" i="39"/>
  <c r="N110" i="39"/>
  <c r="N113" i="39"/>
  <c r="L110" i="39"/>
  <c r="H94" i="39"/>
  <c r="J118" i="39"/>
  <c r="J130" i="39" s="1"/>
  <c r="J133" i="39"/>
  <c r="H125" i="39"/>
  <c r="G125" i="39"/>
  <c r="F104" i="39"/>
  <c r="F69" i="39" s="1"/>
  <c r="H106" i="39"/>
  <c r="H71" i="39" s="1"/>
  <c r="K26" i="39"/>
  <c r="K37" i="39"/>
  <c r="K117" i="39"/>
  <c r="L40" i="39"/>
  <c r="J110" i="39"/>
  <c r="L42" i="39"/>
  <c r="L11" i="39" s="1"/>
  <c r="L13" i="39" s="1"/>
  <c r="J113" i="39"/>
  <c r="L26" i="39"/>
  <c r="I78" i="39"/>
  <c r="I75" i="39"/>
  <c r="G129" i="39"/>
  <c r="I13" i="39"/>
  <c r="I8" i="39"/>
  <c r="F129" i="39"/>
  <c r="N117" i="39"/>
  <c r="N42" i="39"/>
  <c r="N11" i="39" s="1"/>
  <c r="N13" i="39" s="1"/>
  <c r="N40" i="39"/>
  <c r="E127" i="39"/>
  <c r="J8" i="39"/>
  <c r="J13" i="39"/>
  <c r="D118" i="39"/>
  <c r="D130" i="39" s="1"/>
  <c r="D113" i="39"/>
  <c r="D110" i="39"/>
  <c r="C119" i="39"/>
  <c r="C129" i="39"/>
  <c r="C131" i="39" s="1"/>
  <c r="C127" i="39"/>
  <c r="I114" i="39"/>
  <c r="H129" i="39"/>
  <c r="I129" i="39"/>
  <c r="D129" i="39"/>
  <c r="O113" i="39"/>
  <c r="O110" i="39"/>
  <c r="O99" i="39"/>
  <c r="B117" i="39"/>
  <c r="B40" i="39"/>
  <c r="N26" i="39"/>
  <c r="J129" i="39"/>
  <c r="B26" i="39"/>
  <c r="F105" i="39"/>
  <c r="F70" i="39" s="1"/>
  <c r="E129" i="39" l="1"/>
  <c r="E131" i="39" s="1"/>
  <c r="I64" i="39"/>
  <c r="G62" i="39"/>
  <c r="G63" i="39" s="1"/>
  <c r="G98" i="39"/>
  <c r="H97" i="39"/>
  <c r="H59" i="39"/>
  <c r="F98" i="39"/>
  <c r="F62" i="39"/>
  <c r="F63" i="39" s="1"/>
  <c r="J127" i="39"/>
  <c r="I99" i="39"/>
  <c r="I133" i="39"/>
  <c r="J119" i="39"/>
  <c r="J131" i="39"/>
  <c r="F73" i="39"/>
  <c r="H105" i="39"/>
  <c r="H70" i="39" s="1"/>
  <c r="H73" i="39" s="1"/>
  <c r="G105" i="39"/>
  <c r="G70" i="39" s="1"/>
  <c r="G73" i="39" s="1"/>
  <c r="D131" i="39"/>
  <c r="D127" i="39"/>
  <c r="I110" i="39"/>
  <c r="I118" i="39"/>
  <c r="I113" i="39"/>
  <c r="B129" i="39"/>
  <c r="B131" i="39" s="1"/>
  <c r="B127" i="39"/>
  <c r="B119" i="39"/>
  <c r="D119" i="39"/>
  <c r="H62" i="39" l="1"/>
  <c r="H63" i="39" s="1"/>
  <c r="H98" i="39"/>
  <c r="H74" i="39"/>
  <c r="H108" i="39"/>
  <c r="H109" i="39" s="1"/>
  <c r="G74" i="39"/>
  <c r="G108" i="39"/>
  <c r="G109" i="39" s="1"/>
  <c r="F74" i="39"/>
  <c r="F108" i="39"/>
  <c r="F109" i="39" s="1"/>
  <c r="I130" i="39"/>
  <c r="I131" i="39" s="1"/>
  <c r="I127" i="39"/>
  <c r="I119" i="39"/>
  <c r="U39" i="19"/>
  <c r="F114" i="39" l="1"/>
  <c r="F110" i="39" s="1"/>
  <c r="G114" i="39"/>
  <c r="G110" i="39" s="1"/>
  <c r="G79" i="39"/>
  <c r="G75" i="39" s="1"/>
  <c r="H114" i="39"/>
  <c r="F79" i="39"/>
  <c r="F75" i="39" s="1"/>
  <c r="H79" i="39"/>
  <c r="H75" i="39" s="1"/>
  <c r="I21" i="19"/>
  <c r="J21" i="19"/>
  <c r="K21" i="19"/>
  <c r="I37" i="19"/>
  <c r="J37" i="19"/>
  <c r="K37" i="19"/>
  <c r="B39" i="19"/>
  <c r="Q39" i="19"/>
  <c r="R39" i="19"/>
  <c r="S39" i="19"/>
  <c r="T39" i="19"/>
  <c r="Y39" i="19"/>
  <c r="K39" i="19" l="1"/>
  <c r="H118" i="39"/>
  <c r="H133" i="39"/>
  <c r="H113" i="39"/>
  <c r="H99" i="39"/>
  <c r="H64" i="39"/>
  <c r="H78" i="39"/>
  <c r="H110" i="39"/>
  <c r="G133" i="39"/>
  <c r="G113" i="39"/>
  <c r="G99" i="39"/>
  <c r="G118" i="39"/>
  <c r="F64" i="39"/>
  <c r="F78" i="39"/>
  <c r="G78" i="39"/>
  <c r="G64" i="39"/>
  <c r="F133" i="39"/>
  <c r="F99" i="39"/>
  <c r="F118" i="39"/>
  <c r="F113" i="39"/>
  <c r="G130" i="39" l="1"/>
  <c r="G131" i="39" s="1"/>
  <c r="G119" i="39"/>
  <c r="G127" i="39"/>
  <c r="F127" i="39"/>
  <c r="F130" i="39"/>
  <c r="F131" i="39" s="1"/>
  <c r="F119" i="39"/>
  <c r="H130" i="39"/>
  <c r="H131" i="39" s="1"/>
  <c r="H127" i="39"/>
  <c r="H119" i="39"/>
  <c r="G40" i="32"/>
  <c r="F40" i="32"/>
  <c r="E40" i="32"/>
  <c r="D40" i="32"/>
  <c r="D42" i="32" s="1"/>
  <c r="C40" i="32"/>
  <c r="B40" i="32"/>
  <c r="C22" i="22" l="1"/>
  <c r="C23" i="22" s="1"/>
  <c r="D22" i="22"/>
  <c r="D23" i="22" s="1"/>
  <c r="E22" i="22"/>
  <c r="E23" i="22" s="1"/>
  <c r="F22" i="22"/>
  <c r="F23" i="22" s="1"/>
  <c r="G22" i="22"/>
  <c r="G23" i="22" s="1"/>
  <c r="H22" i="22"/>
  <c r="H23" i="22" s="1"/>
  <c r="B22" i="22"/>
  <c r="B23" i="22" s="1"/>
  <c r="F19" i="22"/>
  <c r="C15" i="22"/>
  <c r="D15" i="22"/>
  <c r="E15" i="22"/>
  <c r="F15" i="22"/>
  <c r="G15" i="22"/>
  <c r="H15" i="22"/>
  <c r="C16" i="22"/>
  <c r="D16" i="22"/>
  <c r="E16" i="22"/>
  <c r="F16" i="22"/>
  <c r="G16" i="22"/>
  <c r="H16" i="22"/>
  <c r="C17" i="22"/>
  <c r="D17" i="22"/>
  <c r="E17" i="22"/>
  <c r="F17" i="22"/>
  <c r="G17" i="22"/>
  <c r="H17" i="22"/>
  <c r="C18" i="22"/>
  <c r="D18" i="22"/>
  <c r="E18" i="22"/>
  <c r="F18" i="22"/>
  <c r="G18" i="22"/>
  <c r="H18" i="22"/>
  <c r="D19" i="22"/>
  <c r="E19" i="22"/>
  <c r="G19" i="22"/>
  <c r="H19" i="22"/>
  <c r="B16" i="22"/>
  <c r="B17" i="22"/>
  <c r="B18" i="22"/>
  <c r="B15" i="22"/>
  <c r="C7" i="22"/>
  <c r="D7" i="22"/>
  <c r="E7" i="22"/>
  <c r="F7" i="22"/>
  <c r="G7" i="22"/>
  <c r="H7" i="22"/>
  <c r="C8" i="22"/>
  <c r="D8" i="22"/>
  <c r="E8" i="22"/>
  <c r="F8" i="22"/>
  <c r="G8" i="22"/>
  <c r="H8" i="22"/>
  <c r="C9" i="22"/>
  <c r="D9" i="22"/>
  <c r="E9" i="22"/>
  <c r="F9" i="22"/>
  <c r="G9" i="22"/>
  <c r="H9" i="22"/>
  <c r="C10" i="22"/>
  <c r="D10" i="22"/>
  <c r="E10" i="22"/>
  <c r="F10" i="22"/>
  <c r="G10" i="22"/>
  <c r="H10" i="22"/>
  <c r="C11" i="22"/>
  <c r="D11" i="22"/>
  <c r="E11" i="22"/>
  <c r="F11" i="22"/>
  <c r="G11" i="22"/>
  <c r="H11" i="22"/>
  <c r="B8" i="22"/>
  <c r="B9" i="22"/>
  <c r="B10" i="22"/>
  <c r="B11" i="22"/>
  <c r="B7" i="22"/>
  <c r="D12" i="22" l="1"/>
  <c r="D13" i="22" s="1"/>
  <c r="G12" i="22"/>
  <c r="G13" i="22" s="1"/>
  <c r="C12" i="22"/>
  <c r="C13" i="22" s="1"/>
  <c r="H12" i="22"/>
  <c r="H13" i="22" s="1"/>
  <c r="F12" i="22"/>
  <c r="F13" i="22" s="1"/>
  <c r="B12" i="22"/>
  <c r="B13" i="22" s="1"/>
  <c r="E12" i="22"/>
  <c r="E13" i="22" s="1"/>
  <c r="H20" i="22"/>
  <c r="F20" i="22"/>
  <c r="D20" i="22"/>
  <c r="G20" i="22"/>
  <c r="E20" i="22"/>
  <c r="H49" i="31"/>
  <c r="G49" i="31"/>
  <c r="G55" i="31" s="1"/>
  <c r="F49" i="31"/>
  <c r="F55" i="31" s="1"/>
  <c r="E49" i="31"/>
  <c r="E55" i="31" s="1"/>
  <c r="D49" i="31"/>
  <c r="D55" i="31" s="1"/>
  <c r="C49" i="31"/>
  <c r="C55" i="31" s="1"/>
  <c r="B49" i="31"/>
  <c r="B55" i="31" s="1"/>
  <c r="H48" i="31"/>
  <c r="F48" i="31"/>
  <c r="E48" i="31"/>
  <c r="D48" i="31"/>
  <c r="C48" i="31"/>
  <c r="B48" i="31"/>
  <c r="H47" i="31"/>
  <c r="G47" i="31"/>
  <c r="F47" i="31"/>
  <c r="E47" i="31"/>
  <c r="D47" i="31"/>
  <c r="C47" i="31"/>
  <c r="B47" i="31"/>
  <c r="H46" i="31"/>
  <c r="F46" i="31"/>
  <c r="E46" i="31"/>
  <c r="D46" i="31"/>
  <c r="C46" i="31"/>
  <c r="B46" i="31"/>
  <c r="M40" i="31"/>
  <c r="M37" i="31"/>
  <c r="M36" i="31"/>
  <c r="G36" i="31"/>
  <c r="G48" i="31" s="1"/>
  <c r="J34" i="31"/>
  <c r="J35" i="31" s="1"/>
  <c r="J36" i="31" s="1"/>
  <c r="J37" i="31" s="1"/>
  <c r="J38" i="31" s="1"/>
  <c r="J40" i="31" s="1"/>
  <c r="J41" i="31" s="1"/>
  <c r="J42" i="31" s="1"/>
  <c r="M30" i="31"/>
  <c r="J30" i="31"/>
  <c r="M28" i="31"/>
  <c r="M27" i="31"/>
  <c r="J27" i="31"/>
  <c r="J28" i="31" s="1"/>
  <c r="M25" i="31"/>
  <c r="M24" i="31"/>
  <c r="M23" i="31"/>
  <c r="M22" i="31"/>
  <c r="J21" i="31"/>
  <c r="J22" i="31" s="1"/>
  <c r="J23" i="31" s="1"/>
  <c r="J24" i="31" s="1"/>
  <c r="J25" i="31" s="1"/>
  <c r="M18" i="31"/>
  <c r="M16" i="31"/>
  <c r="M15" i="31"/>
  <c r="M13" i="31"/>
  <c r="J12" i="31"/>
  <c r="J13" i="31" s="1"/>
  <c r="J14" i="31" s="1"/>
  <c r="J15" i="31" s="1"/>
  <c r="J16" i="31" s="1"/>
  <c r="J18" i="31" s="1"/>
  <c r="M9" i="31"/>
  <c r="J6" i="31"/>
  <c r="J7" i="31" s="1"/>
  <c r="J8" i="31" s="1"/>
  <c r="J9" i="31" s="1"/>
  <c r="F53" i="31" l="1"/>
  <c r="H50" i="31"/>
  <c r="D50" i="31"/>
  <c r="H53" i="31"/>
  <c r="H25" i="22"/>
  <c r="E25" i="22"/>
  <c r="G25" i="22"/>
  <c r="F25" i="22"/>
  <c r="D25" i="22"/>
  <c r="C51" i="31"/>
  <c r="E54" i="31"/>
  <c r="D54" i="31"/>
  <c r="H55" i="31"/>
  <c r="B50" i="31"/>
  <c r="F50" i="31"/>
  <c r="C53" i="31"/>
  <c r="H54" i="31"/>
  <c r="D53" i="31"/>
  <c r="C54" i="31"/>
  <c r="G54" i="31"/>
  <c r="G53" i="31"/>
  <c r="G51" i="31"/>
  <c r="E50" i="31"/>
  <c r="F51" i="31"/>
  <c r="G46" i="31"/>
  <c r="C50" i="31"/>
  <c r="G50" i="31"/>
  <c r="D51" i="31"/>
  <c r="H51" i="31"/>
  <c r="E53" i="31"/>
  <c r="B54" i="31"/>
  <c r="F54" i="31"/>
  <c r="F56" i="31" s="1"/>
  <c r="F58" i="31" s="1"/>
  <c r="E51" i="31"/>
  <c r="B53" i="31"/>
  <c r="B51" i="31"/>
  <c r="B56" i="31" l="1"/>
  <c r="B58" i="31" s="1"/>
  <c r="B19" i="22"/>
  <c r="B20" i="22" s="1"/>
  <c r="B25" i="22" s="1"/>
  <c r="C19" i="22"/>
  <c r="C20" i="22" s="1"/>
  <c r="C25" i="22" s="1"/>
  <c r="C56" i="31"/>
  <c r="C58" i="31" s="1"/>
  <c r="E56" i="31"/>
  <c r="E58" i="31" s="1"/>
  <c r="D56" i="31"/>
  <c r="D58" i="31" s="1"/>
  <c r="H56" i="31"/>
  <c r="H58" i="31" s="1"/>
  <c r="G56" i="31"/>
  <c r="G58" i="31" s="1"/>
  <c r="E30" i="29" l="1"/>
  <c r="E31" i="29" s="1"/>
  <c r="C30" i="29"/>
  <c r="C31" i="29" s="1"/>
  <c r="B30" i="29"/>
  <c r="B31" i="29" s="1"/>
  <c r="I29" i="29"/>
  <c r="F29" i="29"/>
  <c r="I27" i="29"/>
  <c r="I26" i="29"/>
  <c r="F26" i="29"/>
  <c r="F27" i="29" s="1"/>
  <c r="I24" i="29"/>
  <c r="I23" i="29"/>
  <c r="I22" i="29"/>
  <c r="F22" i="29"/>
  <c r="F23" i="29" s="1"/>
  <c r="F24" i="29" s="1"/>
  <c r="I20" i="29"/>
  <c r="I19" i="29"/>
  <c r="D19" i="29" s="1"/>
  <c r="D30" i="29" s="1"/>
  <c r="D31" i="29" s="1"/>
  <c r="I18" i="29"/>
  <c r="I17" i="29"/>
  <c r="F17" i="29"/>
  <c r="F18" i="29" s="1"/>
  <c r="F19" i="29" s="1"/>
  <c r="F20" i="29" s="1"/>
  <c r="I15" i="29"/>
  <c r="I14" i="29"/>
  <c r="I13" i="29"/>
  <c r="I12" i="29"/>
  <c r="I11" i="29"/>
  <c r="F11" i="29"/>
  <c r="F12" i="29" s="1"/>
  <c r="F13" i="29" s="1"/>
  <c r="F14" i="29" s="1"/>
  <c r="F15" i="29" s="1"/>
  <c r="I9" i="29"/>
  <c r="F9" i="29"/>
  <c r="I7" i="29"/>
  <c r="I6" i="29"/>
  <c r="I5" i="29"/>
  <c r="F5" i="29"/>
  <c r="F6" i="29" s="1"/>
  <c r="F7" i="29" s="1"/>
  <c r="N38" i="28"/>
  <c r="M38" i="28"/>
  <c r="L38" i="28"/>
  <c r="K38" i="28"/>
  <c r="J38" i="28"/>
  <c r="I38" i="28"/>
  <c r="H38" i="28"/>
  <c r="G38" i="28"/>
  <c r="F38" i="28"/>
  <c r="E38" i="28"/>
  <c r="C38" i="28"/>
  <c r="R36" i="28"/>
  <c r="R31" i="28"/>
  <c r="R28" i="28"/>
  <c r="R27" i="28"/>
  <c r="R19" i="28"/>
  <c r="R14" i="28"/>
  <c r="R12" i="28"/>
  <c r="N3" i="28"/>
  <c r="M3" i="28"/>
  <c r="L3" i="28"/>
  <c r="K3" i="28"/>
  <c r="J3" i="28"/>
  <c r="I3" i="28"/>
  <c r="H3" i="28"/>
  <c r="G3" i="28"/>
  <c r="F3" i="28"/>
  <c r="E3" i="28"/>
  <c r="D3" i="28"/>
  <c r="C3" i="28"/>
  <c r="B3" i="28"/>
  <c r="I30" i="29" l="1"/>
  <c r="L50" i="26" l="1"/>
  <c r="L49" i="26"/>
  <c r="L45" i="26"/>
  <c r="L43" i="26"/>
  <c r="L41" i="26"/>
  <c r="L17" i="26"/>
  <c r="K17" i="26"/>
  <c r="J17" i="26"/>
  <c r="G22" i="24" l="1"/>
  <c r="G9" i="24"/>
  <c r="G141" i="25" l="1"/>
  <c r="K76" i="25"/>
  <c r="M51" i="25"/>
  <c r="L51" i="25"/>
  <c r="G43" i="25"/>
  <c r="G4" i="25" s="1"/>
  <c r="N33" i="25"/>
  <c r="N4" i="25" s="1"/>
  <c r="M33" i="25"/>
  <c r="L30" i="25"/>
  <c r="K30" i="25"/>
  <c r="L27" i="25"/>
  <c r="K27" i="25"/>
  <c r="M22" i="25"/>
  <c r="M16" i="25"/>
  <c r="L16" i="25"/>
  <c r="J4" i="25"/>
  <c r="M4" i="25" l="1"/>
  <c r="L4" i="25"/>
  <c r="K4" i="25"/>
  <c r="C45" i="5" l="1"/>
  <c r="E45" i="5"/>
  <c r="F45" i="5"/>
  <c r="G45" i="5"/>
  <c r="H45" i="5"/>
  <c r="B45" i="5"/>
  <c r="L36" i="20" l="1"/>
  <c r="L31" i="20"/>
  <c r="L28" i="20"/>
  <c r="L27" i="20"/>
  <c r="L21" i="20"/>
  <c r="L19" i="20"/>
  <c r="L17" i="20"/>
  <c r="H8" i="20"/>
  <c r="G8" i="20"/>
  <c r="F8" i="20"/>
  <c r="E8" i="20"/>
  <c r="D8" i="20"/>
  <c r="C8" i="20"/>
  <c r="B8" i="20"/>
  <c r="C30" i="6" l="1"/>
  <c r="N39" i="17" l="1"/>
  <c r="M39" i="17"/>
  <c r="L39" i="17"/>
  <c r="K39" i="17"/>
  <c r="J39" i="17"/>
  <c r="I39" i="17"/>
  <c r="H39" i="17"/>
  <c r="G39" i="17"/>
  <c r="F39" i="17"/>
  <c r="E39" i="17"/>
  <c r="C48" i="5"/>
  <c r="E48" i="5"/>
  <c r="F48" i="5"/>
  <c r="G48" i="5"/>
  <c r="H48" i="5"/>
  <c r="B48" i="5"/>
  <c r="C47" i="5"/>
  <c r="D47" i="5"/>
  <c r="E47" i="5"/>
  <c r="F47" i="5"/>
  <c r="G47" i="5"/>
  <c r="H47" i="5"/>
  <c r="B47" i="5"/>
  <c r="C46" i="5"/>
  <c r="D46" i="5"/>
  <c r="E46" i="5"/>
  <c r="F46" i="5"/>
  <c r="G46" i="5"/>
  <c r="H46" i="5"/>
  <c r="B46" i="5"/>
  <c r="M42" i="18"/>
  <c r="L42" i="18"/>
  <c r="K42" i="18"/>
  <c r="J42" i="18"/>
  <c r="L39" i="18"/>
  <c r="L38" i="18"/>
  <c r="G50" i="5" l="1"/>
  <c r="C50" i="5"/>
  <c r="D50" i="5"/>
  <c r="F50" i="5"/>
  <c r="B49" i="5"/>
  <c r="E49" i="5"/>
  <c r="F49" i="5"/>
  <c r="H49" i="5"/>
  <c r="B50" i="5"/>
  <c r="E50" i="5"/>
  <c r="G49" i="5"/>
  <c r="C49" i="5"/>
  <c r="H50" i="5"/>
  <c r="D41" i="5"/>
  <c r="D45" i="5" s="1"/>
  <c r="E35" i="11"/>
  <c r="G40" i="11"/>
  <c r="H40" i="11"/>
  <c r="H48" i="18" l="1"/>
  <c r="D35" i="11"/>
  <c r="D48" i="5"/>
  <c r="D49" i="5" s="1"/>
  <c r="T40" i="11"/>
  <c r="S40" i="11"/>
  <c r="E14" i="11" l="1"/>
  <c r="E17" i="11" s="1"/>
  <c r="F14" i="11"/>
  <c r="G14" i="11"/>
  <c r="J40" i="11" l="1"/>
  <c r="K40" i="11"/>
  <c r="L40" i="11"/>
  <c r="M40" i="11"/>
  <c r="N40" i="11"/>
  <c r="O40" i="11"/>
  <c r="P40" i="11"/>
  <c r="R40" i="11"/>
  <c r="X35" i="11" l="1"/>
  <c r="W35" i="11"/>
  <c r="V35" i="11"/>
  <c r="U35" i="11"/>
  <c r="T35" i="11"/>
  <c r="S35" i="11"/>
  <c r="R35" i="11"/>
  <c r="D39" i="17"/>
  <c r="H41" i="11" s="1"/>
  <c r="H15" i="11" s="1"/>
  <c r="C39" i="17"/>
  <c r="G41" i="11" s="1"/>
  <c r="B39" i="17"/>
  <c r="F41" i="11" s="1"/>
  <c r="R37" i="17"/>
  <c r="R31" i="17"/>
  <c r="R28" i="17"/>
  <c r="R27" i="17"/>
  <c r="R19" i="17"/>
  <c r="R14" i="17"/>
  <c r="R12" i="17"/>
  <c r="N3" i="17"/>
  <c r="M3" i="17"/>
  <c r="L3" i="17"/>
  <c r="K3" i="17"/>
  <c r="J3" i="17"/>
  <c r="I3" i="17"/>
  <c r="H3" i="17"/>
  <c r="G3" i="17"/>
  <c r="F3" i="17"/>
  <c r="E3" i="17"/>
  <c r="D3" i="17"/>
  <c r="C3" i="17"/>
  <c r="B3" i="17"/>
  <c r="H21" i="11"/>
  <c r="G21" i="11"/>
  <c r="F15" i="11" l="1"/>
  <c r="F17" i="11" s="1"/>
  <c r="G15" i="11"/>
  <c r="G17" i="11" s="1"/>
  <c r="I4" i="15"/>
  <c r="D25" i="11" l="1"/>
  <c r="G142" i="15"/>
  <c r="J77" i="15"/>
  <c r="L52" i="15"/>
  <c r="K52" i="15"/>
  <c r="G44" i="15"/>
  <c r="M34" i="15"/>
  <c r="M4" i="15" s="1"/>
  <c r="L34" i="15"/>
  <c r="K30" i="15"/>
  <c r="J30" i="15"/>
  <c r="K27" i="15"/>
  <c r="J27" i="15"/>
  <c r="L22" i="15"/>
  <c r="L16" i="15"/>
  <c r="K16" i="15"/>
  <c r="H25" i="11" l="1"/>
  <c r="G4" i="15"/>
  <c r="K4" i="15"/>
  <c r="L4" i="15"/>
  <c r="J4" i="15"/>
  <c r="G25" i="11" l="1"/>
  <c r="F25" i="11"/>
  <c r="E25" i="11"/>
  <c r="F5" i="6"/>
  <c r="F6" i="6" s="1"/>
  <c r="F7" i="6" s="1"/>
  <c r="F9" i="6" s="1"/>
  <c r="F11" i="6" s="1"/>
  <c r="F12" i="6" s="1"/>
  <c r="F13" i="6" s="1"/>
  <c r="F14" i="6" s="1"/>
  <c r="F15" i="6" s="1"/>
  <c r="F17" i="6" s="1"/>
  <c r="F18" i="6" s="1"/>
  <c r="F19" i="6" s="1"/>
  <c r="F20" i="6" s="1"/>
  <c r="F22" i="6" s="1"/>
  <c r="F23" i="6" s="1"/>
  <c r="F24" i="6" s="1"/>
  <c r="F26" i="6" s="1"/>
  <c r="F27" i="6" s="1"/>
  <c r="F29" i="6" s="1"/>
  <c r="J6" i="5"/>
  <c r="J7" i="5" s="1"/>
  <c r="J8" i="5" s="1"/>
  <c r="J9" i="5" s="1"/>
  <c r="J11" i="5" s="1"/>
  <c r="J12" i="5" s="1"/>
  <c r="J13" i="5" s="1"/>
  <c r="J14" i="5" s="1"/>
  <c r="J15" i="5" s="1"/>
  <c r="J16" i="5" s="1"/>
  <c r="J17" i="5" s="1"/>
  <c r="J20" i="5" s="1"/>
  <c r="J21" i="5" s="1"/>
  <c r="J22" i="5" s="1"/>
  <c r="J23" i="5" s="1"/>
  <c r="J24" i="5" s="1"/>
  <c r="J25" i="5" s="1"/>
  <c r="J27" i="5" s="1"/>
  <c r="J28" i="5" s="1"/>
  <c r="J30" i="5" s="1"/>
  <c r="J34" i="5" s="1"/>
  <c r="J35" i="5" s="1"/>
  <c r="J36" i="5" s="1"/>
  <c r="J37" i="5" s="1"/>
  <c r="J38" i="5" s="1"/>
  <c r="T20" i="11"/>
  <c r="U20" i="11" s="1"/>
  <c r="V20" i="11" s="1"/>
  <c r="W20" i="11" s="1"/>
  <c r="X20" i="11" s="1"/>
  <c r="J40" i="5" l="1"/>
  <c r="J41" i="5" s="1"/>
  <c r="J42" i="5" s="1"/>
  <c r="J39" i="5"/>
  <c r="C48" i="11"/>
  <c r="C26" i="14" s="1"/>
  <c r="B48" i="11"/>
  <c r="B26" i="14" s="1"/>
  <c r="A26" i="14"/>
  <c r="A25" i="14"/>
  <c r="C24" i="14"/>
  <c r="D24" i="14"/>
  <c r="E24" i="14"/>
  <c r="F24" i="14"/>
  <c r="G24" i="14"/>
  <c r="H24" i="14"/>
  <c r="B24" i="14"/>
  <c r="A30" i="14"/>
  <c r="A28" i="14"/>
  <c r="A27" i="14"/>
  <c r="B3" i="14"/>
  <c r="C3" i="14"/>
  <c r="D3" i="14"/>
  <c r="E3" i="14"/>
  <c r="F3" i="14"/>
  <c r="G3" i="14"/>
  <c r="H3" i="14"/>
  <c r="B10" i="14"/>
  <c r="C10" i="14"/>
  <c r="D10" i="14"/>
  <c r="E10" i="14"/>
  <c r="F10" i="14"/>
  <c r="G10" i="14"/>
  <c r="H10" i="14"/>
  <c r="B8" i="14"/>
  <c r="C8" i="14"/>
  <c r="D8" i="14"/>
  <c r="E8" i="14"/>
  <c r="F8" i="14"/>
  <c r="G8" i="14"/>
  <c r="H8" i="14"/>
  <c r="B7" i="14"/>
  <c r="C7" i="14"/>
  <c r="D7" i="14"/>
  <c r="E7" i="14"/>
  <c r="F7" i="14"/>
  <c r="G7" i="14"/>
  <c r="H7" i="14"/>
  <c r="B12" i="14"/>
  <c r="C12" i="14"/>
  <c r="D12" i="14"/>
  <c r="E12" i="14"/>
  <c r="F12" i="14"/>
  <c r="G12" i="14"/>
  <c r="H12" i="14"/>
  <c r="B13" i="14"/>
  <c r="C13" i="14"/>
  <c r="D13" i="14"/>
  <c r="E13" i="14"/>
  <c r="F13" i="14"/>
  <c r="G13" i="14"/>
  <c r="H13" i="14"/>
  <c r="B14" i="14"/>
  <c r="C14" i="14"/>
  <c r="D14" i="14"/>
  <c r="E14" i="14"/>
  <c r="F14" i="14"/>
  <c r="G14" i="14"/>
  <c r="H14" i="14"/>
  <c r="B11" i="14"/>
  <c r="C11" i="14"/>
  <c r="D11" i="14"/>
  <c r="E11" i="14"/>
  <c r="F11" i="14"/>
  <c r="G11" i="14"/>
  <c r="H11" i="14"/>
  <c r="B9" i="14"/>
  <c r="C9" i="14"/>
  <c r="D9" i="14"/>
  <c r="E9" i="14"/>
  <c r="F9" i="14"/>
  <c r="G9" i="14"/>
  <c r="H9" i="14"/>
  <c r="C1" i="14"/>
  <c r="D1" i="14"/>
  <c r="E1" i="14"/>
  <c r="F1" i="14"/>
  <c r="G1" i="14"/>
  <c r="H1" i="14"/>
  <c r="B1" i="14"/>
  <c r="S19" i="11"/>
  <c r="T19" i="11"/>
  <c r="K24" i="14" s="1"/>
  <c r="U19" i="11"/>
  <c r="L24" i="14" s="1"/>
  <c r="V19" i="11"/>
  <c r="M24" i="14" s="1"/>
  <c r="W19" i="11"/>
  <c r="X19" i="11"/>
  <c r="O24" i="14" s="1"/>
  <c r="R19" i="11"/>
  <c r="I24" i="14" s="1"/>
  <c r="S7" i="11"/>
  <c r="T7" i="11"/>
  <c r="U7" i="11"/>
  <c r="V7" i="11"/>
  <c r="W7" i="11"/>
  <c r="X7" i="11"/>
  <c r="R7" i="11"/>
  <c r="P44" i="11"/>
  <c r="O44" i="11"/>
  <c r="N44" i="11"/>
  <c r="M44" i="11"/>
  <c r="L44" i="11"/>
  <c r="K44" i="11"/>
  <c r="J44" i="11"/>
  <c r="P38" i="11"/>
  <c r="O38" i="11"/>
  <c r="N38" i="11"/>
  <c r="M38" i="11"/>
  <c r="L38" i="11"/>
  <c r="K38" i="11"/>
  <c r="J38" i="11"/>
  <c r="P37" i="11"/>
  <c r="O37" i="11"/>
  <c r="N37" i="11"/>
  <c r="M37" i="11"/>
  <c r="L37" i="11"/>
  <c r="K37" i="11"/>
  <c r="J37" i="11"/>
  <c r="P36" i="11"/>
  <c r="O36" i="11"/>
  <c r="N36" i="11"/>
  <c r="M36" i="11"/>
  <c r="L36" i="11"/>
  <c r="K36" i="11"/>
  <c r="J36" i="11"/>
  <c r="O35" i="11"/>
  <c r="N35" i="11"/>
  <c r="M35" i="11"/>
  <c r="L35" i="11"/>
  <c r="K35" i="11"/>
  <c r="J35" i="11"/>
  <c r="P34" i="11"/>
  <c r="O34" i="11"/>
  <c r="N34" i="11"/>
  <c r="M34" i="11"/>
  <c r="L34" i="11"/>
  <c r="K34" i="11"/>
  <c r="J34" i="11"/>
  <c r="P33" i="11"/>
  <c r="O33" i="11"/>
  <c r="N33" i="11"/>
  <c r="M33" i="11"/>
  <c r="L33" i="11"/>
  <c r="K33" i="11"/>
  <c r="J33" i="11"/>
  <c r="P32" i="11"/>
  <c r="O32" i="11"/>
  <c r="N32" i="11"/>
  <c r="M32" i="11"/>
  <c r="L32" i="11"/>
  <c r="K32" i="11"/>
  <c r="J32" i="11"/>
  <c r="P31" i="11"/>
  <c r="O31" i="11"/>
  <c r="N31" i="11"/>
  <c r="M31" i="11"/>
  <c r="L31" i="11"/>
  <c r="K31" i="11"/>
  <c r="J31" i="11"/>
  <c r="P27" i="11"/>
  <c r="O27" i="11"/>
  <c r="N27" i="11"/>
  <c r="M27" i="11"/>
  <c r="K27" i="11"/>
  <c r="J27" i="11"/>
  <c r="P26" i="11"/>
  <c r="O26" i="11"/>
  <c r="N26" i="11"/>
  <c r="M26" i="11"/>
  <c r="K26" i="11"/>
  <c r="J26" i="11"/>
  <c r="P25" i="11"/>
  <c r="O25" i="11"/>
  <c r="N25" i="11"/>
  <c r="M25" i="11"/>
  <c r="L25" i="11"/>
  <c r="K25" i="11"/>
  <c r="J25" i="11"/>
  <c r="P24" i="11"/>
  <c r="O24" i="11"/>
  <c r="N24" i="11"/>
  <c r="M24" i="11"/>
  <c r="L24" i="11"/>
  <c r="K24" i="11"/>
  <c r="J24" i="11"/>
  <c r="P23" i="11"/>
  <c r="O23" i="11"/>
  <c r="N23" i="11"/>
  <c r="M23" i="11"/>
  <c r="L23" i="11"/>
  <c r="K23" i="11"/>
  <c r="J23" i="11"/>
  <c r="P22" i="11"/>
  <c r="O22" i="11"/>
  <c r="N22" i="11"/>
  <c r="M22" i="11"/>
  <c r="L22" i="11"/>
  <c r="K22" i="11"/>
  <c r="J22" i="11"/>
  <c r="P21" i="11"/>
  <c r="O21" i="11"/>
  <c r="N21" i="11"/>
  <c r="M21" i="11"/>
  <c r="L21" i="11"/>
  <c r="K21" i="11"/>
  <c r="J21" i="11"/>
  <c r="P20" i="11"/>
  <c r="O20" i="11"/>
  <c r="N20" i="11"/>
  <c r="M20" i="11"/>
  <c r="K20" i="11"/>
  <c r="J20" i="11"/>
  <c r="P19" i="11"/>
  <c r="O19" i="11"/>
  <c r="N19" i="11"/>
  <c r="M19" i="11"/>
  <c r="L19" i="11"/>
  <c r="K19" i="11"/>
  <c r="J19" i="11"/>
  <c r="O17" i="11"/>
  <c r="N17" i="11"/>
  <c r="M17" i="11"/>
  <c r="L17" i="11"/>
  <c r="K17" i="11"/>
  <c r="J17" i="11"/>
  <c r="P16" i="11"/>
  <c r="O16" i="11"/>
  <c r="N16" i="11"/>
  <c r="M16" i="11"/>
  <c r="L16" i="11"/>
  <c r="K16" i="11"/>
  <c r="J16" i="11"/>
  <c r="P14" i="11"/>
  <c r="O14" i="11"/>
  <c r="N14" i="11"/>
  <c r="M14" i="11"/>
  <c r="K14" i="11"/>
  <c r="J14" i="11"/>
  <c r="O13" i="11"/>
  <c r="N13" i="11"/>
  <c r="M13" i="11"/>
  <c r="K13" i="11"/>
  <c r="J13" i="11"/>
  <c r="P12" i="11"/>
  <c r="O12" i="11"/>
  <c r="N12" i="11"/>
  <c r="M12" i="11"/>
  <c r="L12" i="11"/>
  <c r="K12" i="11"/>
  <c r="J12" i="11"/>
  <c r="P11" i="11"/>
  <c r="O11" i="11"/>
  <c r="N11" i="11"/>
  <c r="M11" i="11"/>
  <c r="L11" i="11"/>
  <c r="K11" i="11"/>
  <c r="J11" i="11"/>
  <c r="P10" i="11"/>
  <c r="O10" i="11"/>
  <c r="N10" i="11"/>
  <c r="M10" i="11"/>
  <c r="L10" i="11"/>
  <c r="K10" i="11"/>
  <c r="J10" i="11"/>
  <c r="L20" i="11"/>
  <c r="H45" i="11"/>
  <c r="P45" i="11" s="1"/>
  <c r="G45" i="11"/>
  <c r="G30" i="14" s="1"/>
  <c r="F45" i="11"/>
  <c r="N45" i="11" s="1"/>
  <c r="E45" i="11"/>
  <c r="D45" i="11"/>
  <c r="L45" i="11" s="1"/>
  <c r="C45" i="11"/>
  <c r="C30" i="14" s="1"/>
  <c r="B45" i="11"/>
  <c r="J45" i="11" s="1"/>
  <c r="G39" i="11"/>
  <c r="F39" i="11"/>
  <c r="E39" i="11"/>
  <c r="E4" i="14" s="1"/>
  <c r="D39" i="11"/>
  <c r="C39" i="11"/>
  <c r="B39" i="11"/>
  <c r="H28" i="11"/>
  <c r="G28" i="11"/>
  <c r="F28" i="11"/>
  <c r="E28" i="11"/>
  <c r="C28" i="11"/>
  <c r="B28" i="11"/>
  <c r="B29" i="11" s="1"/>
  <c r="B27" i="14" s="1"/>
  <c r="R44" i="11"/>
  <c r="S44" i="11" s="1"/>
  <c r="R38" i="11"/>
  <c r="S38" i="11" s="1"/>
  <c r="T38" i="11" s="1"/>
  <c r="U38" i="11" s="1"/>
  <c r="V38" i="11" s="1"/>
  <c r="W38" i="11" s="1"/>
  <c r="X38" i="11" s="1"/>
  <c r="R37" i="11"/>
  <c r="R36" i="11"/>
  <c r="S36" i="11" s="1"/>
  <c r="R34" i="11"/>
  <c r="I9" i="14" s="1"/>
  <c r="R33" i="11"/>
  <c r="I11" i="14" s="1"/>
  <c r="R32" i="11"/>
  <c r="I14" i="14" s="1"/>
  <c r="R31" i="11"/>
  <c r="R25" i="11"/>
  <c r="R24" i="11"/>
  <c r="I12" i="14" s="1"/>
  <c r="R23" i="11"/>
  <c r="S23" i="11" s="1"/>
  <c r="T23" i="11" s="1"/>
  <c r="K7" i="14" s="1"/>
  <c r="R22" i="11"/>
  <c r="R21" i="11"/>
  <c r="S21" i="11" s="1"/>
  <c r="T21" i="11" s="1"/>
  <c r="I3" i="14"/>
  <c r="C42" i="11" l="1"/>
  <c r="K42" i="11" s="1"/>
  <c r="C4" i="14"/>
  <c r="G42" i="11"/>
  <c r="G29" i="14" s="1"/>
  <c r="G4" i="14"/>
  <c r="B42" i="11"/>
  <c r="B29" i="14" s="1"/>
  <c r="B4" i="14"/>
  <c r="F42" i="11"/>
  <c r="F29" i="14" s="1"/>
  <c r="F4" i="14"/>
  <c r="D5" i="14"/>
  <c r="D4" i="14"/>
  <c r="I13" i="14"/>
  <c r="R42" i="11"/>
  <c r="I29" i="14" s="1"/>
  <c r="F2" i="14"/>
  <c r="E29" i="11"/>
  <c r="E27" i="14" s="1"/>
  <c r="S25" i="11"/>
  <c r="S28" i="11" s="1"/>
  <c r="S33" i="11"/>
  <c r="J11" i="14" s="1"/>
  <c r="F29" i="11"/>
  <c r="F27" i="14" s="1"/>
  <c r="L1" i="14"/>
  <c r="R45" i="11"/>
  <c r="I30" i="14" s="1"/>
  <c r="I1" i="14"/>
  <c r="O39" i="11"/>
  <c r="C5" i="14"/>
  <c r="N39" i="11"/>
  <c r="S37" i="11"/>
  <c r="T36" i="11"/>
  <c r="M28" i="11"/>
  <c r="R28" i="11"/>
  <c r="I2" i="14" s="1"/>
  <c r="J10" i="14"/>
  <c r="J29" i="11"/>
  <c r="G5" i="14"/>
  <c r="E2" i="14"/>
  <c r="F6" i="14"/>
  <c r="J28" i="11"/>
  <c r="K39" i="11"/>
  <c r="M1" i="14"/>
  <c r="B2" i="14"/>
  <c r="J7" i="14"/>
  <c r="I10" i="14"/>
  <c r="B6" i="14"/>
  <c r="B30" i="14"/>
  <c r="S31" i="11"/>
  <c r="N28" i="11"/>
  <c r="F30" i="14"/>
  <c r="I7" i="14"/>
  <c r="J3" i="14"/>
  <c r="U23" i="11"/>
  <c r="S32" i="11"/>
  <c r="S34" i="11"/>
  <c r="U21" i="11"/>
  <c r="K10" i="14"/>
  <c r="S24" i="11"/>
  <c r="C2" i="14"/>
  <c r="K28" i="11"/>
  <c r="C29" i="11"/>
  <c r="G2" i="14"/>
  <c r="G29" i="11"/>
  <c r="O28" i="11"/>
  <c r="D42" i="11"/>
  <c r="D29" i="14" s="1"/>
  <c r="L39" i="11"/>
  <c r="E30" i="14"/>
  <c r="E6" i="14"/>
  <c r="M45" i="11"/>
  <c r="I8" i="14"/>
  <c r="S22" i="11"/>
  <c r="T44" i="11"/>
  <c r="S45" i="11"/>
  <c r="P28" i="11"/>
  <c r="H2" i="14"/>
  <c r="H29" i="11"/>
  <c r="E42" i="11"/>
  <c r="E29" i="14" s="1"/>
  <c r="E5" i="14"/>
  <c r="M39" i="11"/>
  <c r="N24" i="14"/>
  <c r="N1" i="14"/>
  <c r="J24" i="14"/>
  <c r="J1" i="14"/>
  <c r="R39" i="11"/>
  <c r="I4" i="14" s="1"/>
  <c r="K45" i="11"/>
  <c r="O45" i="11"/>
  <c r="O1" i="14"/>
  <c r="K1" i="14"/>
  <c r="F5" i="14"/>
  <c r="B5" i="14"/>
  <c r="H6" i="14"/>
  <c r="D6" i="14"/>
  <c r="H30" i="14"/>
  <c r="D30" i="14"/>
  <c r="J39" i="11"/>
  <c r="G6" i="14"/>
  <c r="C6" i="14"/>
  <c r="H35" i="11"/>
  <c r="M40" i="5"/>
  <c r="M37" i="5"/>
  <c r="M36" i="5"/>
  <c r="M30" i="5"/>
  <c r="M28" i="5"/>
  <c r="M27" i="5"/>
  <c r="M25" i="5"/>
  <c r="M24" i="5"/>
  <c r="M23" i="5"/>
  <c r="M22" i="5"/>
  <c r="M21" i="5"/>
  <c r="M17" i="5"/>
  <c r="M16" i="5"/>
  <c r="M15" i="5"/>
  <c r="M13" i="5"/>
  <c r="M9" i="5"/>
  <c r="I9" i="6"/>
  <c r="E30" i="6"/>
  <c r="E31" i="6" s="1"/>
  <c r="C31" i="6"/>
  <c r="B30" i="6"/>
  <c r="B31" i="6" s="1"/>
  <c r="I29" i="6"/>
  <c r="I27" i="6"/>
  <c r="I26" i="6"/>
  <c r="I24" i="6"/>
  <c r="I23" i="6"/>
  <c r="I22" i="6"/>
  <c r="I20" i="6"/>
  <c r="I19" i="6"/>
  <c r="D19" i="6" s="1"/>
  <c r="I18" i="6"/>
  <c r="I17" i="6"/>
  <c r="I15" i="6"/>
  <c r="I14" i="6"/>
  <c r="I13" i="6"/>
  <c r="I12" i="6"/>
  <c r="I11" i="6"/>
  <c r="I7" i="6"/>
  <c r="I6" i="6"/>
  <c r="I5" i="6"/>
  <c r="F28" i="14" l="1"/>
  <c r="J42" i="11"/>
  <c r="B28" i="14"/>
  <c r="B47" i="11"/>
  <c r="B25" i="14" s="1"/>
  <c r="G28" i="14"/>
  <c r="C28" i="14"/>
  <c r="C29" i="14"/>
  <c r="H39" i="11"/>
  <c r="P35" i="11"/>
  <c r="M29" i="11"/>
  <c r="N29" i="11"/>
  <c r="O42" i="11"/>
  <c r="F47" i="11"/>
  <c r="F43" i="11" s="1"/>
  <c r="R29" i="11"/>
  <c r="I27" i="14" s="1"/>
  <c r="T25" i="11"/>
  <c r="I6" i="14"/>
  <c r="T33" i="11"/>
  <c r="K11" i="14" s="1"/>
  <c r="N42" i="11"/>
  <c r="S39" i="11"/>
  <c r="J4" i="14" s="1"/>
  <c r="U36" i="11"/>
  <c r="T37" i="11"/>
  <c r="J13" i="14"/>
  <c r="T31" i="11"/>
  <c r="J2" i="14"/>
  <c r="S29" i="11"/>
  <c r="J27" i="14" s="1"/>
  <c r="M42" i="11"/>
  <c r="E28" i="14"/>
  <c r="E47" i="11"/>
  <c r="G27" i="14"/>
  <c r="O29" i="11"/>
  <c r="T34" i="11"/>
  <c r="J9" i="14"/>
  <c r="H27" i="14"/>
  <c r="P29" i="11"/>
  <c r="J8" i="14"/>
  <c r="T22" i="11"/>
  <c r="G47" i="11"/>
  <c r="G48" i="11" s="1"/>
  <c r="V21" i="11"/>
  <c r="L10" i="14"/>
  <c r="J14" i="14"/>
  <c r="T32" i="11"/>
  <c r="J30" i="14"/>
  <c r="J6" i="14"/>
  <c r="D28" i="14"/>
  <c r="L42" i="11"/>
  <c r="K29" i="11"/>
  <c r="C47" i="11"/>
  <c r="C27" i="14"/>
  <c r="I5" i="14"/>
  <c r="U44" i="11"/>
  <c r="T45" i="11"/>
  <c r="T24" i="11"/>
  <c r="J12" i="14"/>
  <c r="L7" i="14"/>
  <c r="V23" i="11"/>
  <c r="D30" i="6"/>
  <c r="I30" i="6"/>
  <c r="B4" i="22" l="1"/>
  <c r="B43" i="11"/>
  <c r="U33" i="11"/>
  <c r="L11" i="14" s="1"/>
  <c r="B30" i="11"/>
  <c r="J47" i="11"/>
  <c r="J48" i="11" s="1"/>
  <c r="B46" i="11"/>
  <c r="H42" i="11"/>
  <c r="H5" i="14"/>
  <c r="H4" i="14"/>
  <c r="P39" i="11"/>
  <c r="F48" i="11"/>
  <c r="F26" i="14" s="1"/>
  <c r="N47" i="11"/>
  <c r="F25" i="14"/>
  <c r="F46" i="11"/>
  <c r="E43" i="11"/>
  <c r="F30" i="11"/>
  <c r="U25" i="11"/>
  <c r="T28" i="11"/>
  <c r="T29" i="11" s="1"/>
  <c r="U37" i="11"/>
  <c r="S42" i="11"/>
  <c r="T39" i="11"/>
  <c r="K4" i="14" s="1"/>
  <c r="J5" i="14"/>
  <c r="V36" i="11"/>
  <c r="W36" i="11" s="1"/>
  <c r="X36" i="11" s="1"/>
  <c r="K3" i="14"/>
  <c r="K13" i="14"/>
  <c r="U31" i="11"/>
  <c r="V44" i="11"/>
  <c r="U45" i="11"/>
  <c r="C25" i="14"/>
  <c r="C46" i="11"/>
  <c r="K47" i="11"/>
  <c r="C43" i="11"/>
  <c r="W23" i="11"/>
  <c r="M7" i="14"/>
  <c r="R47" i="11"/>
  <c r="R48" i="11" s="1"/>
  <c r="R13" i="11" s="1"/>
  <c r="R17" i="11" s="1"/>
  <c r="I28" i="14"/>
  <c r="K14" i="14"/>
  <c r="U32" i="11"/>
  <c r="G25" i="14"/>
  <c r="G46" i="11"/>
  <c r="G43" i="11"/>
  <c r="O47" i="11"/>
  <c r="G30" i="11"/>
  <c r="U34" i="11"/>
  <c r="K9" i="14"/>
  <c r="K12" i="14"/>
  <c r="U24" i="11"/>
  <c r="C30" i="11"/>
  <c r="K8" i="14"/>
  <c r="U22" i="11"/>
  <c r="M47" i="11"/>
  <c r="E25" i="14"/>
  <c r="E48" i="11"/>
  <c r="E46" i="11"/>
  <c r="E30" i="11"/>
  <c r="K30" i="14"/>
  <c r="K6" i="14"/>
  <c r="W21" i="11"/>
  <c r="M10" i="14"/>
  <c r="L3" i="14"/>
  <c r="D31" i="6"/>
  <c r="V33" i="11" l="1"/>
  <c r="M11" i="14" s="1"/>
  <c r="C4" i="22"/>
  <c r="D27" i="11"/>
  <c r="D14" i="11" s="1"/>
  <c r="L14" i="11" s="1"/>
  <c r="D26" i="11"/>
  <c r="H29" i="14"/>
  <c r="P42" i="11"/>
  <c r="H28" i="14"/>
  <c r="H47" i="11"/>
  <c r="H48" i="11" s="1"/>
  <c r="J28" i="14"/>
  <c r="J29" i="14"/>
  <c r="N48" i="11"/>
  <c r="M48" i="11"/>
  <c r="K48" i="11"/>
  <c r="O48" i="11"/>
  <c r="E26" i="14"/>
  <c r="G26" i="14"/>
  <c r="K2" i="14"/>
  <c r="U28" i="11"/>
  <c r="U29" i="11" s="1"/>
  <c r="L27" i="14" s="1"/>
  <c r="V25" i="11"/>
  <c r="K5" i="14"/>
  <c r="V37" i="11"/>
  <c r="T42" i="11"/>
  <c r="U39" i="11"/>
  <c r="S47" i="11"/>
  <c r="S48" i="11" s="1"/>
  <c r="S13" i="11" s="1"/>
  <c r="S17" i="11" s="1"/>
  <c r="L13" i="14"/>
  <c r="V31" i="11"/>
  <c r="X21" i="11"/>
  <c r="O10" i="14" s="1"/>
  <c r="N10" i="14"/>
  <c r="L30" i="14"/>
  <c r="L6" i="14"/>
  <c r="L14" i="14"/>
  <c r="V32" i="11"/>
  <c r="I25" i="14"/>
  <c r="R46" i="11"/>
  <c r="R30" i="11"/>
  <c r="W44" i="11"/>
  <c r="V45" i="11"/>
  <c r="M3" i="14"/>
  <c r="K27" i="14"/>
  <c r="V34" i="11"/>
  <c r="L9" i="14"/>
  <c r="L8" i="14"/>
  <c r="V22" i="11"/>
  <c r="V24" i="11"/>
  <c r="L12" i="14"/>
  <c r="R43" i="11"/>
  <c r="X23" i="11"/>
  <c r="O7" i="14" s="1"/>
  <c r="N7" i="14"/>
  <c r="W33" i="11" l="1"/>
  <c r="N11" i="14" s="1"/>
  <c r="D4" i="22"/>
  <c r="L27" i="11"/>
  <c r="D28" i="11"/>
  <c r="L26" i="11"/>
  <c r="H30" i="11"/>
  <c r="H25" i="14"/>
  <c r="P47" i="11"/>
  <c r="P48" i="11" s="1"/>
  <c r="H46" i="11"/>
  <c r="H43" i="11"/>
  <c r="U42" i="11"/>
  <c r="U47" i="11" s="1"/>
  <c r="U48" i="11" s="1"/>
  <c r="U13" i="11" s="1"/>
  <c r="U17" i="11" s="1"/>
  <c r="L4" i="14"/>
  <c r="T47" i="11"/>
  <c r="T48" i="11" s="1"/>
  <c r="T13" i="11" s="1"/>
  <c r="T17" i="11" s="1"/>
  <c r="K29" i="14"/>
  <c r="W37" i="11"/>
  <c r="I26" i="14"/>
  <c r="S46" i="11"/>
  <c r="L2" i="14"/>
  <c r="V39" i="11"/>
  <c r="V28" i="11"/>
  <c r="V29" i="11" s="1"/>
  <c r="M27" i="14" s="1"/>
  <c r="W25" i="11"/>
  <c r="K28" i="14"/>
  <c r="S43" i="11"/>
  <c r="J25" i="14"/>
  <c r="S30" i="11"/>
  <c r="L5" i="14"/>
  <c r="X33" i="11"/>
  <c r="O11" i="14" s="1"/>
  <c r="M13" i="14"/>
  <c r="W31" i="11"/>
  <c r="W24" i="11"/>
  <c r="M12" i="14"/>
  <c r="O3" i="14"/>
  <c r="N3" i="14"/>
  <c r="M8" i="14"/>
  <c r="W22" i="11"/>
  <c r="M30" i="14"/>
  <c r="M6" i="14"/>
  <c r="W34" i="11"/>
  <c r="M9" i="14"/>
  <c r="X44" i="11"/>
  <c r="X45" i="11" s="1"/>
  <c r="W45" i="11"/>
  <c r="W32" i="11"/>
  <c r="M14" i="14"/>
  <c r="D48" i="18" l="1"/>
  <c r="E4" i="22"/>
  <c r="T43" i="11"/>
  <c r="L28" i="11"/>
  <c r="D29" i="11"/>
  <c r="D2" i="14"/>
  <c r="H26" i="14"/>
  <c r="H13" i="11"/>
  <c r="M5" i="14"/>
  <c r="M4" i="14"/>
  <c r="L28" i="14"/>
  <c r="L29" i="14"/>
  <c r="T46" i="11"/>
  <c r="K25" i="14"/>
  <c r="T30" i="11"/>
  <c r="X37" i="11"/>
  <c r="X39" i="11" s="1"/>
  <c r="O4" i="14" s="1"/>
  <c r="W39" i="11"/>
  <c r="K26" i="14"/>
  <c r="U43" i="11"/>
  <c r="J26" i="14"/>
  <c r="V42" i="11"/>
  <c r="W28" i="11"/>
  <c r="N2" i="14" s="1"/>
  <c r="X25" i="11"/>
  <c r="M2" i="14"/>
  <c r="X31" i="11"/>
  <c r="O13" i="14" s="1"/>
  <c r="N13" i="14"/>
  <c r="X32" i="11"/>
  <c r="O14" i="14" s="1"/>
  <c r="N14" i="14"/>
  <c r="O30" i="14"/>
  <c r="O6" i="14"/>
  <c r="X24" i="11"/>
  <c r="N12" i="14"/>
  <c r="L25" i="14"/>
  <c r="U46" i="11"/>
  <c r="U30" i="11"/>
  <c r="N6" i="14"/>
  <c r="N30" i="14"/>
  <c r="X34" i="11"/>
  <c r="N9" i="14"/>
  <c r="X22" i="11"/>
  <c r="O8" i="14" s="1"/>
  <c r="N8" i="14"/>
  <c r="F4" i="22" l="1"/>
  <c r="D27" i="14"/>
  <c r="D47" i="11"/>
  <c r="D30" i="11" s="1"/>
  <c r="L29" i="11"/>
  <c r="H17" i="11"/>
  <c r="P17" i="11" s="1"/>
  <c r="P13" i="11"/>
  <c r="V47" i="11"/>
  <c r="V48" i="11" s="1"/>
  <c r="V13" i="11" s="1"/>
  <c r="V17" i="11" s="1"/>
  <c r="M29" i="14"/>
  <c r="N5" i="14"/>
  <c r="N4" i="14"/>
  <c r="O5" i="14"/>
  <c r="M28" i="14"/>
  <c r="W42" i="11"/>
  <c r="L26" i="14"/>
  <c r="W29" i="11"/>
  <c r="N27" i="14" s="1"/>
  <c r="X28" i="11"/>
  <c r="O2" i="14" s="1"/>
  <c r="O9" i="14"/>
  <c r="X42" i="11"/>
  <c r="O29" i="14" s="1"/>
  <c r="O12" i="14"/>
  <c r="H4" i="22" l="1"/>
  <c r="G4" i="22"/>
  <c r="D46" i="11"/>
  <c r="D25" i="14"/>
  <c r="D43" i="11"/>
  <c r="L47" i="11"/>
  <c r="L48" i="11" s="1"/>
  <c r="D48" i="11"/>
  <c r="V43" i="11"/>
  <c r="V30" i="11"/>
  <c r="M25" i="14"/>
  <c r="N28" i="14"/>
  <c r="N29" i="14"/>
  <c r="V46" i="11"/>
  <c r="M26" i="14"/>
  <c r="X29" i="11"/>
  <c r="X47" i="11" s="1"/>
  <c r="X48" i="11" s="1"/>
  <c r="X13" i="11" s="1"/>
  <c r="X17" i="11" s="1"/>
  <c r="W47" i="11"/>
  <c r="W48" i="11" s="1"/>
  <c r="W13" i="11" s="1"/>
  <c r="W17" i="11" s="1"/>
  <c r="O28" i="14"/>
  <c r="D13" i="11" l="1"/>
  <c r="L13" i="11" s="1"/>
  <c r="D26" i="14"/>
  <c r="O27" i="14"/>
  <c r="X30" i="11"/>
  <c r="O26" i="14"/>
  <c r="W43" i="11"/>
  <c r="N25" i="14"/>
  <c r="W46" i="11"/>
  <c r="W30" i="11"/>
  <c r="X43" i="11"/>
  <c r="O25" i="14"/>
  <c r="X46" i="11"/>
  <c r="N26" i="14" l="1"/>
  <c r="G48" i="18" l="1"/>
  <c r="E48" i="18"/>
  <c r="F48" i="18" l="1"/>
  <c r="A6" i="15"/>
  <c r="A6"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PilleR</author>
  </authors>
  <commentList>
    <comment ref="B25" authorId="0" shapeId="0" xr:uid="{00000000-0006-0000-0000-000001000000}">
      <text>
        <r>
          <rPr>
            <b/>
            <sz val="9"/>
            <color indexed="81"/>
            <rFont val="Segoe UI"/>
            <family val="2"/>
            <charset val="186"/>
          </rPr>
          <t>PilleR:</t>
        </r>
        <r>
          <rPr>
            <sz val="9"/>
            <color indexed="81"/>
            <rFont val="Segoe UI"/>
            <family val="2"/>
            <charset val="186"/>
          </rPr>
          <t xml:space="preserve">
vähendatud sept 15 8,5 mln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Martin Lengi</author>
    <author>JB</author>
  </authors>
  <commentList>
    <comment ref="A2" authorId="0" shapeId="0" xr:uid="{00000000-0006-0000-0200-000001000000}">
      <text>
        <r>
          <rPr>
            <b/>
            <sz val="9"/>
            <color indexed="81"/>
            <rFont val="Tahoma"/>
            <family val="2"/>
            <charset val="186"/>
          </rPr>
          <t>Martin Lengi:</t>
        </r>
        <r>
          <rPr>
            <sz val="9"/>
            <color indexed="81"/>
            <rFont val="Tahoma"/>
            <family val="2"/>
            <charset val="186"/>
          </rPr>
          <t xml:space="preserve">
Siia riigitulusse lisandus majandamiskulude kärbe -3% va teehoole</t>
        </r>
      </text>
    </comment>
    <comment ref="B22" authorId="1" shapeId="0" xr:uid="{00000000-0006-0000-0200-000002000000}">
      <text>
        <r>
          <rPr>
            <b/>
            <sz val="9"/>
            <color indexed="81"/>
            <rFont val="Segoe UI"/>
            <family val="2"/>
            <charset val="186"/>
          </rPr>
          <t>JB:</t>
        </r>
        <r>
          <rPr>
            <sz val="9"/>
            <color indexed="81"/>
            <rFont val="Segoe UI"/>
            <family val="2"/>
            <charset val="186"/>
          </rPr>
          <t xml:space="preserve">
2016 kinnitatud THK kasutasime 2014 kinnitatud rek numbreid kokku</t>
        </r>
      </text>
    </comment>
    <comment ref="B60" authorId="1" shapeId="0" xr:uid="{00000000-0006-0000-0200-000003000000}">
      <text>
        <r>
          <rPr>
            <b/>
            <sz val="9"/>
            <color indexed="81"/>
            <rFont val="Segoe UI"/>
            <family val="2"/>
            <charset val="186"/>
          </rPr>
          <t>JB:</t>
        </r>
        <r>
          <rPr>
            <sz val="9"/>
            <color indexed="81"/>
            <rFont val="Segoe UI"/>
            <family val="2"/>
            <charset val="186"/>
          </rPr>
          <t xml:space="preserve">
2016 kinnitatud THK kasutasime 2014 kinnitatud rek numbreid kokku</t>
        </r>
      </text>
    </comment>
    <comment ref="B95" authorId="1" shapeId="0" xr:uid="{00000000-0006-0000-0200-000004000000}">
      <text>
        <r>
          <rPr>
            <b/>
            <sz val="9"/>
            <color indexed="81"/>
            <rFont val="Segoe UI"/>
            <family val="2"/>
            <charset val="186"/>
          </rPr>
          <t>JB:</t>
        </r>
        <r>
          <rPr>
            <sz val="9"/>
            <color indexed="81"/>
            <rFont val="Segoe UI"/>
            <family val="2"/>
            <charset val="186"/>
          </rPr>
          <t xml:space="preserve">
2016 kinnitatud THK kasutasime 2014 kinnitatud rek numbreid kokku</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Erik Ernits</author>
  </authors>
  <commentList>
    <comment ref="A1" authorId="0" shapeId="0" xr:uid="{2A64C041-01A5-45A0-9578-104B3D9C05DA}">
      <text>
        <r>
          <rPr>
            <b/>
            <sz val="9"/>
            <color indexed="81"/>
            <rFont val="Tahoma"/>
            <family val="2"/>
            <charset val="186"/>
          </rPr>
          <t>Erik Ernits:</t>
        </r>
        <r>
          <rPr>
            <sz val="9"/>
            <color indexed="81"/>
            <rFont val="Tahoma"/>
            <family val="2"/>
            <charset val="186"/>
          </rPr>
          <t xml:space="preserve">
Halliga on tähistatud uuendamata numbrid.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JB</author>
  </authors>
  <commentList>
    <comment ref="O39" authorId="0" shapeId="0" xr:uid="{00000000-0006-0000-0D00-000001000000}">
      <text>
        <r>
          <rPr>
            <b/>
            <sz val="9"/>
            <color indexed="81"/>
            <rFont val="Segoe UI"/>
            <family val="2"/>
            <charset val="186"/>
          </rPr>
          <t>JB:</t>
        </r>
        <r>
          <rPr>
            <sz val="9"/>
            <color indexed="81"/>
            <rFont val="Segoe UI"/>
            <family val="2"/>
            <charset val="186"/>
          </rPr>
          <t xml:space="preserve">
THK puhas versioon on 2013 kinnitatud THK numbriga</t>
        </r>
      </text>
    </comment>
  </commentList>
</comments>
</file>

<file path=xl/sharedStrings.xml><?xml version="1.0" encoding="utf-8"?>
<sst xmlns="http://schemas.openxmlformats.org/spreadsheetml/2006/main" count="4565" uniqueCount="1379">
  <si>
    <t>tuh EUR</t>
  </si>
  <si>
    <t>2014
eelarve</t>
  </si>
  <si>
    <t>2015*</t>
  </si>
  <si>
    <t>2016*</t>
  </si>
  <si>
    <t>2017*</t>
  </si>
  <si>
    <t>2018*</t>
  </si>
  <si>
    <t>2019**</t>
  </si>
  <si>
    <t>2020**</t>
  </si>
  <si>
    <t>Kohalike omavalituste teehoiutoetused</t>
  </si>
  <si>
    <t>Maksutulu</t>
  </si>
  <si>
    <t>2007-2013 välisvahendid***</t>
  </si>
  <si>
    <t>2014-2020 välisvahendid***</t>
  </si>
  <si>
    <t>Kohalike omavalitsuste teedele KOKKU</t>
  </si>
  <si>
    <t xml:space="preserve">Riigimaanteede hoiuks </t>
  </si>
  <si>
    <t>2007-2013 välisvahenditest</t>
  </si>
  <si>
    <t>2014-2020 välisvahenditest</t>
  </si>
  <si>
    <t>ÜF kaasfin</t>
  </si>
  <si>
    <t>2007-2013 ja 2014-2020 välisvahendid</t>
  </si>
  <si>
    <t>Täiendav rahastamisvajadus **</t>
  </si>
  <si>
    <t>Teehoiuvahendite mahu taasatamine 2015-2017 
aastatel  vähendatud summa ulatuses</t>
  </si>
  <si>
    <t>Riigimaanteede hoiuks  KOKKU</t>
  </si>
  <si>
    <t>Riigimaanteede teehoiukulud</t>
  </si>
  <si>
    <t xml:space="preserve">Teehoiutööd </t>
  </si>
  <si>
    <t>Teede hooldamise kulud</t>
  </si>
  <si>
    <t>Kruusateede säilitusremont | kuni 400 km aastas</t>
  </si>
  <si>
    <t>Kattega teede säilitusremont |1200-1500 km aastas</t>
  </si>
  <si>
    <t>Kattega teede taastusremont |150-200 km aastas</t>
  </si>
  <si>
    <t>Sildade taasturemontremont | 35 silda aastas</t>
  </si>
  <si>
    <t xml:space="preserve">       riigitulu</t>
  </si>
  <si>
    <t xml:space="preserve">       kaasfinantseerimine  riigitulust</t>
  </si>
  <si>
    <t xml:space="preserve">       2014-2020 välisvahendid </t>
  </si>
  <si>
    <t>Rekonstrueerimine</t>
  </si>
  <si>
    <t>Teedevõrgu säilitamine KOKKU</t>
  </si>
  <si>
    <t>Projektide ettevalmistus</t>
  </si>
  <si>
    <t>Müratõkked</t>
  </si>
  <si>
    <t>Liiklusohtlike kohtade ümberehitus</t>
  </si>
  <si>
    <t>Programm "Kruusateed tolmuvabaks" riigiteedel |
2014-2015 kuni 50 km, 2016-2017  kuni 100 km, 
alates 2018 kuni 150 km aastas</t>
  </si>
  <si>
    <t xml:space="preserve">       kaasfinantseerimine riigitulust</t>
  </si>
  <si>
    <t xml:space="preserve">       2014-2020 välisvahendid</t>
  </si>
  <si>
    <t xml:space="preserve">       2007-2013 välisvahnedid</t>
  </si>
  <si>
    <t>Ehitus</t>
  </si>
  <si>
    <t>Suurprojekt Tartu mnt 2+2 (Kose-Ardu-Võõbu-Mäo) **</t>
  </si>
  <si>
    <t>Teedevõrgu arendamine KOKKU</t>
  </si>
  <si>
    <t>Administreerimiskulud (sh muud investeeringud, 
tegevuskulud, liiklusregistri toimingud)</t>
  </si>
  <si>
    <t>Administreerimine KOKKU</t>
  </si>
  <si>
    <t>TEEHOIUTÖÖD KOKKU</t>
  </si>
  <si>
    <t>* Teehoiu rahastamine vastavalt Riigi eelarvestrateegiale 2015-2018 ja Vabariigi Valitsuse 3.juuli 2014 otsusele</t>
  </si>
  <si>
    <t>** Rahastamisvajadus</t>
  </si>
  <si>
    <t>THK Lisa 1 Teehoiukava 2014-2020 finantsplaan</t>
  </si>
  <si>
    <t>2014+ riigimaanteede TEN-T teede ehitusobjektid (põhinimekiri+lisa)</t>
  </si>
  <si>
    <t>TEN_T teede ehitusobjektid</t>
  </si>
  <si>
    <t>Ehitusaastad ja maksumused milj EUR</t>
  </si>
  <si>
    <t>Lühikirjeldus</t>
  </si>
  <si>
    <t>KM</t>
  </si>
  <si>
    <t>L(km)</t>
  </si>
  <si>
    <t>NR 1 (E20) TALLINN - NARVA</t>
  </si>
  <si>
    <t>Valgejõe-Rõmeda</t>
  </si>
  <si>
    <t>vana periood</t>
  </si>
  <si>
    <t>Pirita jõe sillad</t>
  </si>
  <si>
    <t>2 silda,  kummalgi sõiduteel üks sild</t>
  </si>
  <si>
    <t>Väo sõlm</t>
  </si>
  <si>
    <t>uus periood</t>
  </si>
  <si>
    <t>Sillamäe raudtee eritasandiline ristumine</t>
  </si>
  <si>
    <t>Põhimaantee ja Sillamäe sadama raudtee kahetasandilise ristmiku rajamine. Kahetasandiline ristumine Tolstoi tn ning Sillamäe-Vaivara mnt-ga.</t>
  </si>
  <si>
    <t>NR 2 (E263) TALLINN - TARTU - VÕRU - LUHAMAA</t>
  </si>
  <si>
    <t>Aruvalla-Kose</t>
  </si>
  <si>
    <t>Kose-Ardu-Võõbu-Mäo</t>
  </si>
  <si>
    <t>uus 2+2 maantee, ehituslõigu pikkus 40 km (kilometraaž mööda vana teed 45 km)</t>
  </si>
  <si>
    <t xml:space="preserve"> täiendav projektipõhine rahastamistaotlus (mitte ÜF)</t>
  </si>
  <si>
    <t xml:space="preserve">Lemmatsi - Lennujaama teerist </t>
  </si>
  <si>
    <t xml:space="preserve">Ilmatsalu ring -Viljandi ring (Raja tn) </t>
  </si>
  <si>
    <t>Liiklusohutuse ja liiklussujuvuse parandamine. Tartu läänepoolse ümbersõidu I ehitusala</t>
  </si>
  <si>
    <t>Variku viadukt - Raja tn</t>
  </si>
  <si>
    <t xml:space="preserve"> </t>
  </si>
  <si>
    <t>Põltsamaa - Tartu möödasõidualade rajamine</t>
  </si>
  <si>
    <t>2 möödasõiduala mõlemas suunas</t>
  </si>
  <si>
    <t>NR 3 (E264) JÕHVI - TARTU - VALGA</t>
  </si>
  <si>
    <t>NR 4 (E67) TALLINN - PÄRNU - IKLA</t>
  </si>
  <si>
    <t>Topi sõlm</t>
  </si>
  <si>
    <t>eesti raha</t>
  </si>
  <si>
    <t>Tallinna piir - Topi sõlm</t>
  </si>
  <si>
    <t>Ääsmäe - Kernu</t>
  </si>
  <si>
    <t>2+1 ristlõikega lõigud (möödasõidurajad)</t>
  </si>
  <si>
    <t>Kernu ümbersõit</t>
  </si>
  <si>
    <t>Teemaplaneeringu kohane uus tee (2+1 ristlõige)</t>
  </si>
  <si>
    <t>Nurme õgvendus</t>
  </si>
  <si>
    <t>Teemaplaneeringu kohane uus tee (2+1 ristlõige, 1 sild)</t>
  </si>
  <si>
    <t>NR 5 PÄRNU - RAKVERE - SÕMERU</t>
  </si>
  <si>
    <t>Pärnu - Tammiste</t>
  </si>
  <si>
    <t>Türi linna lõik</t>
  </si>
  <si>
    <t>NR 8 TALLINN - PALDISKI (E265 osaline)</t>
  </si>
  <si>
    <t>Keila lõik, sh Keila jõe sild</t>
  </si>
  <si>
    <t>NR 9 ÄÄSMÄE - HAAPSALU - ROHUKÜLA</t>
  </si>
  <si>
    <t>NR 10 RISTI - VIRTSU - KUIVASTU - KURESSAARE</t>
  </si>
  <si>
    <t>NR 11 (E265) TALLINNA RINGTEE</t>
  </si>
  <si>
    <t>Kurna liiklussõlm</t>
  </si>
  <si>
    <t>Kurna eritasandiline ristmik (1 sõidutee viadukt, 1 jalakäiate viadukt, 1 jalakäiate tunnel) ja 2+2 teelõik</t>
  </si>
  <si>
    <t>Kurna-Luige</t>
  </si>
  <si>
    <t xml:space="preserve">Väo - Jüri </t>
  </si>
  <si>
    <t xml:space="preserve">Jüri jaotusringi liiklusohutuse ja sujuvuse parendamine, Põrguvälja ristmik, Karla eritasandiline sõlm, uus Lagedi viadukt ühendusteedega, Lagedi raudteeületuse samatasandiline lahendus </t>
  </si>
  <si>
    <t>Kanama - Keila</t>
  </si>
  <si>
    <t>Juuliku sõlm</t>
  </si>
  <si>
    <t>Eritasandiline ristmik</t>
  </si>
  <si>
    <t>Juuliku sõlm, RE osa</t>
  </si>
  <si>
    <t>LISAKS</t>
  </si>
  <si>
    <t>Kroodi (Vana-Narva mnt ja Maardu linna ühendus)</t>
  </si>
  <si>
    <t xml:space="preserve">Viadukti lõpetamine </t>
  </si>
  <si>
    <t>Kokku</t>
  </si>
  <si>
    <t>Tee ja teelõigu nimetus</t>
  </si>
  <si>
    <t>Rekonstrueerimise aasta ja maksumus milj EUR</t>
  </si>
  <si>
    <t>Kodasoo-Kiiu II niit</t>
  </si>
  <si>
    <t>Vahastu -Kemba II niit</t>
  </si>
  <si>
    <t>Valgejõe-(Turba) Läsna II niit</t>
  </si>
  <si>
    <t>Jõhvi-Ahtme-Puru</t>
  </si>
  <si>
    <t>Aiamaa - Vapramäe - Elva</t>
  </si>
  <si>
    <t xml:space="preserve">Vilusi (Ida-Viru maakonna piir) - Raja küla </t>
  </si>
  <si>
    <t>Igavere - Kobratu</t>
  </si>
  <si>
    <t>Mannare - Aluste</t>
  </si>
  <si>
    <t>Rõusa - Rae</t>
  </si>
  <si>
    <t>Reopalu - Mäo</t>
  </si>
  <si>
    <t>Roosna-Alliku - Ahula</t>
  </si>
  <si>
    <t>Keila - Paldiski, sh Kloogaranna raudtee ülesõit (samatasandiline)</t>
  </si>
  <si>
    <t>Talinn-Keila lõik (Kiia ristist - Keila rist (Statoil))</t>
  </si>
  <si>
    <t>Ääsmäe - Riisipere</t>
  </si>
  <si>
    <t>Risti - Palivere</t>
  </si>
  <si>
    <t>Üdruma - Laiküla</t>
  </si>
  <si>
    <t>Kokku REK</t>
  </si>
  <si>
    <t>Sh ÜF toetus 85%</t>
  </si>
  <si>
    <t xml:space="preserve">Mõigu - Jüri </t>
  </si>
  <si>
    <t>Lisa 1 Teehoiukava 2014-2020 finantsplaan</t>
  </si>
  <si>
    <t>Liiklusohutuse ja liikluse sujuvuse parendamine, samatasandilised ristmikud, Valingu viadukt</t>
  </si>
  <si>
    <t>31800, 19400</t>
  </si>
  <si>
    <t>Keila jõe sillal 16000, 9100</t>
  </si>
  <si>
    <t>10800, 8100</t>
  </si>
  <si>
    <t>8700, 5000</t>
  </si>
  <si>
    <t>Pärnu - Uulu</t>
  </si>
  <si>
    <t xml:space="preserve">Garantiiperiood </t>
  </si>
  <si>
    <t xml:space="preserve">2+2 tee rekonstrueerimine, liiklusohutuse parandamine 50 %, kiirus 120 km/h, Patika müraseinad  </t>
  </si>
  <si>
    <t xml:space="preserve">Luige-Juuliku </t>
  </si>
  <si>
    <t>Kattega teede säilitusremont 900-1200 km aastas</t>
  </si>
  <si>
    <t>Sildade taasturemontremont |kuni 30 silda aastas</t>
  </si>
  <si>
    <t xml:space="preserve">Uus eritasandiline ristmik jätkuks Loo-Maardu valmisehitatud lõigule  </t>
  </si>
  <si>
    <t>Tartu läänepoolne ümbersõidu V ehitusala. 1 eritasandiline ristmik, 1 eritasandiline riste, 1 raudtee viadukt, 1 jalakäijate tunnel</t>
  </si>
  <si>
    <t xml:space="preserve">Liiklusohutuse ja liiklussujuvuse parandamine. Tartu läänepoolse ümbersõidu II ehitusala eritasandised ristmikud, kiirus 70 km/h </t>
  </si>
  <si>
    <t xml:space="preserve">Tallinn-Pärnu-Ikla maantee ja planeeritava Juuliku-Tabasalu ühendustee vaheline Topi liiklussõlm ning Juuliku-Tabasalu ühendustee km 3,3 –7,0 (sh Topi raudteeviadukt, Laagri raudteeülesõit). 2016 Laagri mõõdasõidu ehitus.  </t>
  </si>
  <si>
    <t>Liiklusohutuse ja liikluse sujuvuse parendamine</t>
  </si>
  <si>
    <t xml:space="preserve">2+1 tee ehituse algus, Uulu eritasandine ristmik, kiirus 100 km/h, liiklusohutuse parandamine 50%  </t>
  </si>
  <si>
    <t>Aluse tugevdamineja uus kattekonstruktsioon. Liiklusohutuse ja sujuvuse parandamine, samatasandilised ristmikud, jalg- ja jalgrattatee ehitamine. Valgustus</t>
  </si>
  <si>
    <t>Teekatte seisukorra, liiklusohutuse ja liiklussujuvuse parandamine</t>
  </si>
  <si>
    <t>Liiklusohutuse ja liikluse sujuvuse parandamine. Kahe uue Keila jõe silla ehitamine</t>
  </si>
  <si>
    <t>Kurna   liiklussõlme ja Luige ristmiku vaheline ala 2+2  teelõik, 1 väikeulukite tunnel</t>
  </si>
  <si>
    <t xml:space="preserve">2+2 teelõik Jälgimäe-Kanama, Juuliku-Topi sõlm  ühendustee </t>
  </si>
  <si>
    <t xml:space="preserve">2+2 teelõigu ehituse algus Luige ja Juuliku sõlmede vahele  </t>
  </si>
  <si>
    <t xml:space="preserve">T11390 Tallinn-Rannamõisa-Kloogaranna  </t>
  </si>
  <si>
    <t xml:space="preserve">2+2 tee ehitus linna piirist kuni Tiskre ristmikuni km 2,6-4,1 ühendus linna 2+2 lõiguga   </t>
  </si>
  <si>
    <t>2014+ riigimaanteede  TEN-T teede rekonstrueerimisobjektid (ÜF rahastus)</t>
  </si>
  <si>
    <t xml:space="preserve">Tammispää-Vilusi </t>
  </si>
  <si>
    <t xml:space="preserve">Täiendav rahastamisvajadus ** </t>
  </si>
  <si>
    <t>Muutus võrreldes kehtiva finantsplaaniga</t>
  </si>
  <si>
    <t>Tee nr</t>
  </si>
  <si>
    <t>REKi Eesti objektid 2016-2019</t>
  </si>
  <si>
    <t>Pikkus km</t>
  </si>
  <si>
    <t>Tallinn-Tartu-Võru-Luhamaa</t>
  </si>
  <si>
    <t>Lüganuse - Oandu - Tudu</t>
  </si>
  <si>
    <t>I-Viru</t>
  </si>
  <si>
    <t>Ülenurme - Külitse</t>
  </si>
  <si>
    <t>Tartu</t>
  </si>
  <si>
    <t>Lagedi - Jüri</t>
  </si>
  <si>
    <t>Harju</t>
  </si>
  <si>
    <t>Mudiste - Suure-Jaani - Vändra</t>
  </si>
  <si>
    <t>Lääne</t>
  </si>
  <si>
    <t>Pärnu</t>
  </si>
  <si>
    <t>Peeterristi - Kudruküla</t>
  </si>
  <si>
    <t>Rahula - Saku</t>
  </si>
  <si>
    <t>Ahtme - Rausvere</t>
  </si>
  <si>
    <t>Rakvere - Luige</t>
  </si>
  <si>
    <t>Jõgeva</t>
  </si>
  <si>
    <t>Kohtla - Kohtla-Nõmme</t>
  </si>
  <si>
    <t>Viljandi</t>
  </si>
  <si>
    <t>Iisaku - Tudulinna - Avinurme</t>
  </si>
  <si>
    <t>Suurupi tee</t>
  </si>
  <si>
    <t>Sillamäe - Vaivara</t>
  </si>
  <si>
    <t>Kohtla-Järve - Kukruse - Tammiku</t>
  </si>
  <si>
    <t>Põlva - Karisilla</t>
  </si>
  <si>
    <t>Põlva</t>
  </si>
  <si>
    <t>Pärnu - Tori</t>
  </si>
  <si>
    <t>Tartu - Ilmatsalu - Rõhu</t>
  </si>
  <si>
    <t>Perila - Jäneda</t>
  </si>
  <si>
    <t>Järva</t>
  </si>
  <si>
    <t>Kärdla - Käina</t>
  </si>
  <si>
    <t>Hiiu</t>
  </si>
  <si>
    <t>Riia - Pihkva</t>
  </si>
  <si>
    <t>Võru</t>
  </si>
  <si>
    <t>Sindi-Lodja - Silla</t>
  </si>
  <si>
    <t>Valga</t>
  </si>
  <si>
    <t>Tartu - Räpina - Värska</t>
  </si>
  <si>
    <t>Tartu - Viljandi - Kilingi-Nõmme</t>
  </si>
  <si>
    <t>Rakvere - Rannapungerja</t>
  </si>
  <si>
    <t>L-Viru</t>
  </si>
  <si>
    <t>Jõgeva - Mustvee</t>
  </si>
  <si>
    <t>Valga - Uulu</t>
  </si>
  <si>
    <t>Kadrina - Viitna</t>
  </si>
  <si>
    <t>Karisilla - Petseri</t>
  </si>
  <si>
    <t>Põltsamaa - Võhma</t>
  </si>
  <si>
    <t>Antsla - Vaabina</t>
  </si>
  <si>
    <t>Narva - Narva-Jõesuu - Hiiemetsa</t>
  </si>
  <si>
    <t>Kirdalu - Kiisa</t>
  </si>
  <si>
    <t>Põlva - Saverna</t>
  </si>
  <si>
    <t>Põlva - Reola</t>
  </si>
  <si>
    <t>Keila - Haapsalu</t>
  </si>
  <si>
    <t>Antsla - Haabsaare</t>
  </si>
  <si>
    <t>Vaida - Urge</t>
  </si>
  <si>
    <t>Rapla</t>
  </si>
  <si>
    <t>Kalesi - Töhelgi</t>
  </si>
  <si>
    <t>Aovere - Kallaste - Omedu</t>
  </si>
  <si>
    <t>Tartu; Jõgeva</t>
  </si>
  <si>
    <t>Võru - Räpina</t>
  </si>
  <si>
    <t>Jõhvi - Kose</t>
  </si>
  <si>
    <t>Loksa - Viinistu</t>
  </si>
  <si>
    <t>Imavere - Viljandi - Karksi-Nuia</t>
  </si>
  <si>
    <t>Jõhvi - Ereda</t>
  </si>
  <si>
    <t>Raiste - Osula - Varese</t>
  </si>
  <si>
    <t>Kohtla-Järve - Mäetaguse</t>
  </si>
  <si>
    <t>Kalma - Mustvee</t>
  </si>
  <si>
    <t>Aluste - Kergu</t>
  </si>
  <si>
    <t>Risti - Virtsu - Kuivastu - Kuressaare</t>
  </si>
  <si>
    <t>Ülejõe - Ridaküla</t>
  </si>
  <si>
    <t>Kanepi - Leevaku</t>
  </si>
  <si>
    <t>Kuivajõe - Kose-Uuemõisa</t>
  </si>
  <si>
    <t>Loksa - Pärispea</t>
  </si>
  <si>
    <t>Suure-Jaani - Olustvere</t>
  </si>
  <si>
    <t>Pärnu - Rakvere - Sõmeru</t>
  </si>
  <si>
    <t>Riisipere - Nurme</t>
  </si>
  <si>
    <t>Tartu - Ülenurme</t>
  </si>
  <si>
    <t>Tatra - Otepää - Sangaste</t>
  </si>
  <si>
    <t>Rapla - Järvakandi - Kergu</t>
  </si>
  <si>
    <t>Võru - Kuigatsi - Tõrva</t>
  </si>
  <si>
    <t>Sillamäe - Viivikonna</t>
  </si>
  <si>
    <t>Alu keskuse tee</t>
  </si>
  <si>
    <t>Märjamaa - Koluvere</t>
  </si>
  <si>
    <t>Ruila - Laitse</t>
  </si>
  <si>
    <t>Saare</t>
  </si>
  <si>
    <t>Tartu - Jõgeva - Aravete</t>
  </si>
  <si>
    <t>Assaku - Jüri</t>
  </si>
  <si>
    <t>Viljandi - Põltsamaa</t>
  </si>
  <si>
    <t>Jõelähtme - Kemba</t>
  </si>
  <si>
    <t>Laatre - Antsla</t>
  </si>
  <si>
    <t>Mõisaküla tee</t>
  </si>
  <si>
    <t>Tõrvandi - Roiu - Uniküla</t>
  </si>
  <si>
    <t>Viljandi - Rõngu</t>
  </si>
  <si>
    <t>Kõrve - Toila</t>
  </si>
  <si>
    <t>Kuusalu tee</t>
  </si>
  <si>
    <t>Liikva - Rannamõisa</t>
  </si>
  <si>
    <t>Raasiku - Anija</t>
  </si>
  <si>
    <t>Kose - Purila</t>
  </si>
  <si>
    <t>Mäeküla - Koeru - Kapu</t>
  </si>
  <si>
    <t>Kernu - Kohila</t>
  </si>
  <si>
    <t>Kuressaare - Sääre</t>
  </si>
  <si>
    <t>Kehra jaama tee</t>
  </si>
  <si>
    <t>Viljandi; Pärnu</t>
  </si>
  <si>
    <t>Aruvalla - Jägala</t>
  </si>
  <si>
    <t>Vanaküla - Kohtla jaam</t>
  </si>
  <si>
    <t>Juuru - Rapla</t>
  </si>
  <si>
    <t>Kiisa - Kohila</t>
  </si>
  <si>
    <t>Tallinn - Rapla - Türi</t>
  </si>
  <si>
    <t>Jüri bensiinijaama tee</t>
  </si>
  <si>
    <t>Aruküla - Kostivere</t>
  </si>
  <si>
    <t>Rakvere - Väike-Maarja - Vägeva</t>
  </si>
  <si>
    <t>Liiapeksi - Loksa</t>
  </si>
  <si>
    <t>Rapla - Varbola</t>
  </si>
  <si>
    <t>Tallinn - Rannamõisa - Kloogaranna</t>
  </si>
  <si>
    <t>Tartu-Viljandi-Kilingi-Nõmme</t>
  </si>
  <si>
    <t>Are-Suigu</t>
  </si>
  <si>
    <t>Leisi-Triigi</t>
  </si>
  <si>
    <t>Eesti jrk nr</t>
  </si>
  <si>
    <t>Tee nimetus</t>
  </si>
  <si>
    <t>Algus km</t>
  </si>
  <si>
    <t>Lõpp km</t>
  </si>
  <si>
    <t>Maakond</t>
  </si>
  <si>
    <t>Jõgeva; L-Viru</t>
  </si>
  <si>
    <t>Summa kokku:</t>
  </si>
  <si>
    <t xml:space="preserve">LISA 4. 2018-2030 riigimaanteede teede ehitusobjektide täiendav ettepanek (RIIGIRAHA OBJEKTID)   </t>
  </si>
  <si>
    <t>ehitusobjektid</t>
  </si>
  <si>
    <t xml:space="preserve">Maardu -  Jägala                                </t>
  </si>
  <si>
    <t xml:space="preserve">Liiklusohutuse parandamine, kiirus 110 km/h,  Kostivere eritasandiline ristmik kogujateedega, Maardu-Jõelähtme vasaku niidi laiendus           </t>
  </si>
  <si>
    <t>6700…10000</t>
  </si>
  <si>
    <t xml:space="preserve">2+2 vahelõigu ehitus Aaspere ja Haljala vahel,     liiklusohutuse parandamine 50%, kiirus 110 km/h, Rõmeda-Aaspere vasaku niidi rekonstrueerimine, Aaspere samatasandiline ristmik,  Sauste ja Vanamõisa viaduktid        </t>
  </si>
  <si>
    <t xml:space="preserve">2+1 tee ehitus, liiklusohutuse parandamisega, kiirus 100 km/h. Vähemalt 10 möödasõiduala mõlemas suunas,  va km 156- 163),  Põdruse/Kunda ja/või Jõhvi/Toila eritasandiliste ristmike I etapp                    </t>
  </si>
  <si>
    <t>3400…7600</t>
  </si>
  <si>
    <t xml:space="preserve">Kose-Mäo uus 2+2 maantee kokku 40 km (kilometraaž mööda vana teed 45 km), kiirus 120 km/h, liiklusohutuse parandamine 50%  võrreldes oleva trassiga    </t>
  </si>
  <si>
    <t xml:space="preserve">   </t>
  </si>
  <si>
    <t xml:space="preserve">Mäeküla möödasõit   </t>
  </si>
  <si>
    <t>uus 2+1 tee, kiirus 100 km/h, liiklusohutuse parandamine</t>
  </si>
  <si>
    <t xml:space="preserve">Mäeküla- Tartu möödasõidualade ehitamine  </t>
  </si>
  <si>
    <t xml:space="preserve">2+1 lõigud, kiirus 100 km/h, liiklusohutuse parandamine </t>
  </si>
  <si>
    <t>7300…6200</t>
  </si>
  <si>
    <t xml:space="preserve">Paia ristmik </t>
  </si>
  <si>
    <t xml:space="preserve">Eritasandiline ristmik, liiklusohutuse parandamine, kiirus 100 km/h  </t>
  </si>
  <si>
    <t xml:space="preserve">Adavere möödasõidu ehituse algus </t>
  </si>
  <si>
    <t>2+1 tee, kiirus 100 km/h, liiklusohutuse parandamine</t>
  </si>
  <si>
    <t xml:space="preserve">Põltsamaa ümbersõit </t>
  </si>
  <si>
    <t xml:space="preserve">2+1 tee, liiklusohutuse parandamine, kiirus 100 km/h </t>
  </si>
  <si>
    <t xml:space="preserve">Tiksoja ristmik  </t>
  </si>
  <si>
    <t xml:space="preserve">Liiklusohutuse ja liiklussujuvuse parandamine, Tartu läänepoolse ümbersõidu II ehitusala eritasandiliste ristmike ehituse lõpetamine, kiirus 70 km/h    </t>
  </si>
  <si>
    <t>Lennujaama-Reola</t>
  </si>
  <si>
    <t>Tartu ÜS 6 ehitusala, 2+2 tee ehitus, 2 viadukti, Kiirus 100 km/h, liiklusohutuse parandamine</t>
  </si>
  <si>
    <t xml:space="preserve">Reola- Kambja        </t>
  </si>
  <si>
    <t>2+1 tee ehitus. Kiirus 100 km/h, liiklusohutuse parandamine</t>
  </si>
  <si>
    <t>6800…4700</t>
  </si>
  <si>
    <t xml:space="preserve">Tartu-Külitse-Aiamaa  </t>
  </si>
  <si>
    <t xml:space="preserve">2+1 tee ja 3 eritasandilise sõlme ehitus (Külitse, Lemmatsi, Aiamaa), kiirus 100 km/h, liiklusohutuse  parandamine    </t>
  </si>
  <si>
    <t>8800…9400</t>
  </si>
  <si>
    <t xml:space="preserve">Kernu - Libatse- Are-Nurme   möödasõidualade ehitamine         </t>
  </si>
  <si>
    <t xml:space="preserve">2+1 tee ehitus (vähemalt 7 möödasõiduala mõlemas suunas), kiirus 100 km/h, liiklusohutuse parandamine  (sh Märjamaa/Orgita lõik). Ääsmäe-Pärnu 100 km/h täismahus 2040+       </t>
  </si>
  <si>
    <t>6000…8100</t>
  </si>
  <si>
    <t xml:space="preserve">Libatse ümbersõidu ehitus  </t>
  </si>
  <si>
    <t xml:space="preserve">uue 2+1 tee ehitus, kiirus 100 km/h, liiklusohutuse parandamine  </t>
  </si>
  <si>
    <t xml:space="preserve">Are ümbersõidu ehitus </t>
  </si>
  <si>
    <t xml:space="preserve">uue 2+1 tee ehitus, kiirus 100 km/h, liiklusohutuse parandamine, Are müraprobleemi likvideerimine         </t>
  </si>
  <si>
    <t xml:space="preserve">Pärnu - Uulu </t>
  </si>
  <si>
    <t xml:space="preserve">2+1 tee ehitus, Uulu eritasandiline ristmik. Kiirus 100 km/h, liiklusohutuse parandamine       </t>
  </si>
  <si>
    <t xml:space="preserve">Tähetorni-Harku </t>
  </si>
  <si>
    <t xml:space="preserve">2+2 tee ehitus, Harku eritasandilise ristmik, Juuliku-Tabasalu ühendustee Alliku-Vatsla 5 km  1+1 lõigu ehitus, T8 kiirus 90 km/h, liiklusohutuse parandamine 50 %         </t>
  </si>
  <si>
    <t xml:space="preserve">2+1 tee ehitus maantee (6 möödasõiduala mõlemas suunas), Kiia eritasandiline ristmik, Hüüru estakaad/sild, liiklusohutuse parandamine, kiirus 90 km/h </t>
  </si>
  <si>
    <t>5000…9000</t>
  </si>
  <si>
    <t xml:space="preserve">Luige ja Juuliku sõlmede vahelise 2+2 tee ehituse lõpetamine, Saku viadukti ja sõlme rekonstrueerimine, kiirus 110 km/h, liiklusohutuse parandamine 50%           </t>
  </si>
  <si>
    <t xml:space="preserve">            </t>
  </si>
  <si>
    <t xml:space="preserve">2+2 tee ehitus lõigus Tõkke tn ristmik -Keila linna piir,  Ringtee Tule tn eritasandiline ristmik, liiklusohutuse parandamine 50 %, kiirus 100 km/h         </t>
  </si>
  <si>
    <t xml:space="preserve">NR 11390 TALLINN-RANNAMÕISA-KLOOGARANNA   </t>
  </si>
  <si>
    <t xml:space="preserve">2+2 tee ehitus Tallinna linna piirist kuni Tiskre ristmikuni, km 2,6-4,1, ühendus linna 2+2 lõiguga   </t>
  </si>
  <si>
    <t xml:space="preserve">Kokku </t>
  </si>
  <si>
    <r>
      <t xml:space="preserve">Jägala-Loksa-Valgejõe                               </t>
    </r>
    <r>
      <rPr>
        <b/>
        <sz val="10"/>
        <color indexed="10"/>
        <rFont val="Calibri"/>
        <family val="2"/>
        <charset val="186"/>
      </rPr>
      <t xml:space="preserve"> </t>
    </r>
  </si>
  <si>
    <r>
      <t xml:space="preserve">Rõmeda- Aaspere -Haljala   </t>
    </r>
    <r>
      <rPr>
        <b/>
        <sz val="10"/>
        <color indexed="10"/>
        <rFont val="Calibri"/>
        <family val="2"/>
        <charset val="186"/>
      </rPr>
      <t xml:space="preserve">   </t>
    </r>
  </si>
  <si>
    <r>
      <t xml:space="preserve">Haljala- Kukruse ja Jõhvi-Narva      </t>
    </r>
    <r>
      <rPr>
        <b/>
        <sz val="10"/>
        <color indexed="10"/>
        <rFont val="Calibri"/>
        <family val="2"/>
        <charset val="186"/>
      </rPr>
      <t xml:space="preserve">   </t>
    </r>
  </si>
  <si>
    <r>
      <t>Raja tn - Variku viadukt</t>
    </r>
    <r>
      <rPr>
        <b/>
        <sz val="10"/>
        <color indexed="10"/>
        <rFont val="Calibri"/>
        <family val="2"/>
        <charset val="186"/>
      </rPr>
      <t xml:space="preserve"> </t>
    </r>
  </si>
  <si>
    <r>
      <t xml:space="preserve">Harku-Keila-Paldiski möödasõidualade ehitamine  </t>
    </r>
    <r>
      <rPr>
        <b/>
        <sz val="10"/>
        <color indexed="10"/>
        <rFont val="Calibri"/>
        <family val="2"/>
        <charset val="186"/>
      </rPr>
      <t xml:space="preserve">     </t>
    </r>
  </si>
  <si>
    <r>
      <t xml:space="preserve">Luige - Juuliku  </t>
    </r>
    <r>
      <rPr>
        <b/>
        <sz val="10"/>
        <color indexed="10"/>
        <rFont val="Calibri"/>
        <family val="2"/>
        <charset val="186"/>
      </rPr>
      <t xml:space="preserve">   </t>
    </r>
  </si>
  <si>
    <r>
      <t xml:space="preserve">8300 </t>
    </r>
    <r>
      <rPr>
        <sz val="10"/>
        <color indexed="10"/>
        <rFont val="Calibri"/>
        <family val="2"/>
        <charset val="186"/>
      </rPr>
      <t>(sh raskeliiklus 22%)</t>
    </r>
  </si>
  <si>
    <r>
      <t xml:space="preserve">Kanama - Keila </t>
    </r>
    <r>
      <rPr>
        <b/>
        <sz val="10"/>
        <color indexed="10"/>
        <rFont val="Calibri"/>
        <family val="2"/>
        <charset val="186"/>
      </rPr>
      <t xml:space="preserve"> </t>
    </r>
  </si>
  <si>
    <t>liiklus-sagedus 2014</t>
  </si>
  <si>
    <t>Sõidu-osa</t>
  </si>
  <si>
    <r>
      <t xml:space="preserve">ettepanek 2016 </t>
    </r>
    <r>
      <rPr>
        <b/>
        <sz val="9"/>
        <color theme="0"/>
        <rFont val="Calibri"/>
        <family val="2"/>
        <charset val="186"/>
        <scheme val="minor"/>
      </rPr>
      <t>13.11.2015</t>
    </r>
  </si>
  <si>
    <t>RES välised objektid v.a. Kose-Mäo **</t>
  </si>
  <si>
    <t>s.h. RES maksutulust</t>
  </si>
  <si>
    <t>Ehitus koos lisarahastusega **</t>
  </si>
  <si>
    <t>s.h. arendamine RES maksutulust ja välisvahendid</t>
  </si>
  <si>
    <t>Admin ja Liiklus KOKKU</t>
  </si>
  <si>
    <t>Rekonstrueerimise aasta ja aastamaht kokku, tuh EUR</t>
  </si>
  <si>
    <t>Objekti 
aadress</t>
  </si>
  <si>
    <t>Pikkus, km</t>
  </si>
  <si>
    <t>algus km</t>
  </si>
  <si>
    <t>lõpp km</t>
  </si>
  <si>
    <t>*</t>
  </si>
  <si>
    <t>Valgejõe-Turba II niit</t>
  </si>
  <si>
    <t>Jüri-Vaida</t>
  </si>
  <si>
    <t>Jõhvi - Ahtme-Puru</t>
  </si>
  <si>
    <t>Aiamaa-Vapramäe - Elva</t>
  </si>
  <si>
    <t/>
  </si>
  <si>
    <t>Tallinn-Keila lõik (Kiia ristist - Keila rist (Statoil))</t>
  </si>
  <si>
    <t>KOKKU rekonstrueerimine:</t>
  </si>
  <si>
    <t>Tee  ja teelõigu nimetus</t>
  </si>
  <si>
    <t>Ehitusaastad ja aastamaht kokku, tuh EUR</t>
  </si>
  <si>
    <t>algus 
km</t>
  </si>
  <si>
    <t>2 silda,  kummalgi sõiduteel üks sild 
(2007-2013 objekt)</t>
  </si>
  <si>
    <t xml:space="preserve">Uus eritasandiline ristmik jätkuks Loo-Maardu valmisehitatud lõigule.  </t>
  </si>
  <si>
    <t>Objekti lõpetamine (2007-2013 objekt)</t>
  </si>
  <si>
    <t>Kose-Ardu-Võõbu-Mäo **</t>
  </si>
  <si>
    <t>Liiklusohutuse ja liikluse sujuvuse parendamine.</t>
  </si>
  <si>
    <t>Teekatte seisukorra, liiklusohutuse ja liiklussujuvuse parandamine.</t>
  </si>
  <si>
    <t>Kurna eritasandiline ristmik (1 sõidutee viadukt, 1 jalakäiate viadukt, 1 jalakäiate tunnel) ja 2+2 teelõik (2007-2013 objekt)</t>
  </si>
  <si>
    <t>Luige-Juuliku</t>
  </si>
  <si>
    <t>2+2 teelõigu ehituse algus Luige ja Juuliku sõlmede vahel</t>
  </si>
  <si>
    <t xml:space="preserve">Eritasandiline ristmik ja 2+2 teelõik Jälgimäe-Kanama, Juuliku-Topi sõlm  ühendustee </t>
  </si>
  <si>
    <t>Viadukti lõpetamine</t>
  </si>
  <si>
    <t>KOKKU ehitamine:</t>
  </si>
  <si>
    <t>* Märkus: Veerus „Liiklussagedus 2014“ toodud numbrid näitavad objekti koosseisu kuuluvate teelõikude liiklussagedusi - autot/ööpäevas</t>
  </si>
  <si>
    <t>2014-2020</t>
  </si>
  <si>
    <t>Eesti raha</t>
  </si>
  <si>
    <t>2007-2013</t>
  </si>
  <si>
    <t>sh ÜF 85%</t>
  </si>
  <si>
    <t>Riigitulu</t>
  </si>
  <si>
    <t>2019*</t>
  </si>
  <si>
    <t>s.h. Riigitulust</t>
  </si>
  <si>
    <t>Liiklussagedus 2014*</t>
  </si>
  <si>
    <t xml:space="preserve">Kattega teede säilitusremont </t>
  </si>
  <si>
    <t>Kattega teede taastusremont</t>
  </si>
  <si>
    <t xml:space="preserve">Programm "Kruusateed tolmuvabaks" riigiteedel
</t>
  </si>
  <si>
    <t>Lisa 5 Indikatsioon vajalikest tegevustest TEN-T teelõikudel aastatel 2021-2027</t>
  </si>
  <si>
    <t>Liiklussagedus
2014 *</t>
  </si>
  <si>
    <t>* Märkus: Veerus „Liiklussagedus 2014“ toodud numbrid näitavad objekti koosseisu kuuluvate teelõikude liiklussagedusi -autot/ööpäevas</t>
  </si>
  <si>
    <t>6817, 2990</t>
  </si>
  <si>
    <t>8840, 2834</t>
  </si>
  <si>
    <t>1917, 2175</t>
  </si>
  <si>
    <t>5860, 2491</t>
  </si>
  <si>
    <t>6185, 4966</t>
  </si>
  <si>
    <t>3830, 3009</t>
  </si>
  <si>
    <t xml:space="preserve">21315, 17988 </t>
  </si>
  <si>
    <t>tee nr 1 -27600 tee nr 11- 11325</t>
  </si>
  <si>
    <t xml:space="preserve">Tallinn-Pärnu-Ikla maantee ja planeeritava Juuliku-Tabasalu ühendustee vaheline Topi liiklussõlm ning Juuliku-Tabasalu ühendustee km 3,3 –7,0 (sh Topi raudteeviadukt). 2016 Laagri möödasõidu ehitus </t>
  </si>
  <si>
    <t>19474, 3000</t>
  </si>
  <si>
    <t>9100 Keila jõe sillal 16000</t>
  </si>
  <si>
    <t>Liiklusohutuse ja liiklussujuvuse parandamine . Tartu läänepoolse ümbersõidu II ehitusala ehituse algus.</t>
  </si>
  <si>
    <t>Kurna  liiklussõlme ja Luige ristmiku vaheline 2+2  teelõik, 
1 väikeulukite tunnel (2007-2013 objekt)</t>
  </si>
  <si>
    <t xml:space="preserve">T11390 Tallinn-Rannamõisa-Kloogaranna </t>
  </si>
  <si>
    <t xml:space="preserve">2+2 tee ehitus linna piirist kuni Tiskre ristmikuni, ühendus Tallinna linna 2+2 lõiguga </t>
  </si>
  <si>
    <t>Põhimaantee ja Sillamäe sadama raudtee kahetasandilise ristmiku rajamine. Kahetasandiline ristumine Tolstoi tn ning Sillamäe-Vaivara mnt-ga</t>
  </si>
  <si>
    <t xml:space="preserve">2+1 tee ehitus, liiklusohutuse parandamisega, kiirus 100 km/h. Vähemalt 10 möödasõiduala mõlemas suunas, va km 156- 163),  Põdruse/Kunda ja/või Jõhvi/Toila eritasandiliste ristmike I etapp                    </t>
  </si>
  <si>
    <t>Valgejõe-Rõmeda teelõigu ehituse lõpetamine (2007-2013 objekt)</t>
  </si>
  <si>
    <t>Tartu läänepoolne ümbersõidu V ehitusala. 1 eritasandiline ristmik, 1 eritasandiline riste, 1 raudtee viadukt, 1 jalakäijate tunnel (2007-2013 objekt)</t>
  </si>
  <si>
    <t xml:space="preserve">Kose-Ardu-Võõbu-Mäo  </t>
  </si>
  <si>
    <t xml:space="preserve">Kose-Ardu-Võõbu-Mäo </t>
  </si>
  <si>
    <t xml:space="preserve">2+2 vahelõigu ehitus Aaspere ja Haljala vahel, liiklusohutuse parandamine, kiirus 110 km/h, Rõmeda-Aaspere vasaku niidi rekonstrueerimine, Aaspere samatasandiline ristmik,  Sauste ja Vanamõisa viaduktid        </t>
  </si>
  <si>
    <t>Riigiteede hoiuks  KOKKU</t>
  </si>
  <si>
    <t>Lisa 2. Riigiteede TEN-T võrgustikku kuuluvate põhimaanteede rekonstrueerimisobjektid</t>
  </si>
  <si>
    <t xml:space="preserve">Lisa 3. Riigiteede TEN-T võrgustikku kuuluvate põhimaanteede ehitusobjektid </t>
  </si>
  <si>
    <t xml:space="preserve">Lisa 4  2021-2027 riigiteede indikatiivne rahastamise vajadus ja kulude jaotus </t>
  </si>
  <si>
    <t>VAHENDID RIIGITEEDE HOIUKS</t>
  </si>
  <si>
    <t>TEEHOIUKULUD</t>
  </si>
  <si>
    <t>TEEHOIUKULUD   KOKKU</t>
  </si>
  <si>
    <t>Rahastamise vajadus riigiteede hoiuks</t>
  </si>
  <si>
    <t>Väga hea</t>
  </si>
  <si>
    <t>Algtase 2012</t>
  </si>
  <si>
    <t xml:space="preserve">Sihttase 2020 </t>
  </si>
  <si>
    <t>Halb/
Väga halb</t>
  </si>
  <si>
    <t xml:space="preserve">Hea </t>
  </si>
  <si>
    <t>Aasta/Seisukord</t>
  </si>
  <si>
    <t>Teekatete seisukorra osakaal</t>
  </si>
  <si>
    <t xml:space="preserve">TAK 2014-2020 sätestatud. Eesmärgid seatud vastavalt pikaajalisele aktiisilaekumise prognoosile aastal 2013.  </t>
  </si>
  <si>
    <t>2015 seoti teehoiu rahastamine kütuseaktsiisi laekumise prognoosist lahti ning vähendati kavandatavaid vahendeid veel 55 mln võrra aastatel 2015-2017</t>
  </si>
  <si>
    <t xml:space="preserve">1) </t>
  </si>
  <si>
    <t xml:space="preserve">2) </t>
  </si>
  <si>
    <t>Vaheaastate seisukorra näitajate tulemused näitasid halvas ja väga halvas seisukorras olevate teede osakaalu suurenemist. Põhjaliku analüüsi ja andmete võrdluse tulemusena selgus, et 2012 algtaseme määramisel oli tehtud viga ning valmist jäid välja osad teed. Seega tuleb TAK 2014-2020 korrigerida teekatete seisukorra algtaseme seisu.</t>
  </si>
  <si>
    <t>Samuti tuleb korrigeerida ka 2020 aasta sihttaset vastavalt RESis 2016-2019 kavandatud rahastamismahule, eeldades sarnase rahastamismahu jätkumist 2020 aastal.</t>
  </si>
  <si>
    <t>Rahuldav</t>
  </si>
  <si>
    <t xml:space="preserve">Liiklusohutuse parandamine, kiirus 110 km/h    Alexela tankla likvideerimine Kuusalu sõlmel (maa rendileping lõpeb ca 2023), Loksa eritasandilise ristmiku ehitus km 52.  Ohtlike mahasõidude sulgemine, keskpiire Kuusalu-Valgejõe      </t>
  </si>
  <si>
    <t xml:space="preserve">Valgejõe-Rõmeda teelõigu ehituse V ja VII ehitusala. Objekti lõpetamine </t>
  </si>
  <si>
    <t>Kruusateede remont | kuni 400 km aastas</t>
  </si>
  <si>
    <t>Kruusateede remont</t>
  </si>
  <si>
    <t>Sildade taastusremont</t>
  </si>
  <si>
    <t>Riigiteed</t>
  </si>
  <si>
    <t>KOV teed</t>
  </si>
  <si>
    <t>KOKKU</t>
  </si>
  <si>
    <t>Maanteid</t>
  </si>
  <si>
    <t>sh kattega</t>
  </si>
  <si>
    <t>sh kruusaga</t>
  </si>
  <si>
    <t>Tänavaid</t>
  </si>
  <si>
    <t>Sildade taasturemont|kuni 30 silda aastas</t>
  </si>
  <si>
    <t xml:space="preserve">Liiklusohutuse parandamine, kiirus 110 km/h,  Alexela tankla likvideerimine Kuusalu sõlmel (maa rendileping lõpeb ca 2023), Loksa eritasandilise ristmiku ehitus km 52.  Ohtlike mahasõidude sulgemine, keskpiire Kuusalu-Valgejõe lõigule     </t>
  </si>
  <si>
    <t>Ehitus**</t>
  </si>
  <si>
    <t>Liiklussagedus 2014</t>
  </si>
  <si>
    <t>Variku viadukt - Raja tn (Riia ring)</t>
  </si>
  <si>
    <t>TEE NR</t>
  </si>
  <si>
    <t>TEE NIMETUS</t>
  </si>
  <si>
    <t>Algus KM</t>
  </si>
  <si>
    <t>Lõpp KM</t>
  </si>
  <si>
    <t>MAAKOND</t>
  </si>
  <si>
    <t>miljon €</t>
  </si>
  <si>
    <r>
      <t xml:space="preserve">Jüri-Vaida  </t>
    </r>
    <r>
      <rPr>
        <b/>
        <sz val="9"/>
        <color rgb="FFFF0000"/>
        <rFont val="Calibri"/>
        <family val="2"/>
        <charset val="186"/>
      </rPr>
      <t>TEN-T reki tabelisse</t>
    </r>
  </si>
  <si>
    <t>Liiklussagedus autot/ööp</t>
  </si>
  <si>
    <t>323-1378</t>
  </si>
  <si>
    <t>1047-1207</t>
  </si>
  <si>
    <t>558-1789</t>
  </si>
  <si>
    <t>577-1284</t>
  </si>
  <si>
    <t>2868-3440</t>
  </si>
  <si>
    <t>781-893</t>
  </si>
  <si>
    <t>214-1649</t>
  </si>
  <si>
    <t>753-1122</t>
  </si>
  <si>
    <t>641-974</t>
  </si>
  <si>
    <t>968-1136</t>
  </si>
  <si>
    <t>893-2781</t>
  </si>
  <si>
    <t>807-965</t>
  </si>
  <si>
    <t>1025-1694</t>
  </si>
  <si>
    <t>1050-1438</t>
  </si>
  <si>
    <t>616-922</t>
  </si>
  <si>
    <t>1754-525</t>
  </si>
  <si>
    <t>581-784</t>
  </si>
  <si>
    <t>784-941</t>
  </si>
  <si>
    <t>370-1023</t>
  </si>
  <si>
    <t>1341-3763</t>
  </si>
  <si>
    <t>1725-2360</t>
  </si>
  <si>
    <t>1756-1794</t>
  </si>
  <si>
    <t>610-2247</t>
  </si>
  <si>
    <t>616-803</t>
  </si>
  <si>
    <t>1104-1769</t>
  </si>
  <si>
    <t>385-1038</t>
  </si>
  <si>
    <t>2261-2524</t>
  </si>
  <si>
    <t>304-1184</t>
  </si>
  <si>
    <t>4523-7556</t>
  </si>
  <si>
    <t>553-965</t>
  </si>
  <si>
    <t>619-803</t>
  </si>
  <si>
    <t>651-1328</t>
  </si>
  <si>
    <t>163-1287</t>
  </si>
  <si>
    <t>2302-2769</t>
  </si>
  <si>
    <t>1602-1836</t>
  </si>
  <si>
    <t>926-933</t>
  </si>
  <si>
    <t>52-654</t>
  </si>
  <si>
    <t>1893-2940</t>
  </si>
  <si>
    <t>1516-2511</t>
  </si>
  <si>
    <t>1329-2011</t>
  </si>
  <si>
    <t>2018-2594</t>
  </si>
  <si>
    <t>1057-1798</t>
  </si>
  <si>
    <t>560-709</t>
  </si>
  <si>
    <t>841-862</t>
  </si>
  <si>
    <t>1132-3007</t>
  </si>
  <si>
    <t>185-1233</t>
  </si>
  <si>
    <t>762-1190</t>
  </si>
  <si>
    <t>737-888</t>
  </si>
  <si>
    <t>1956-2976</t>
  </si>
  <si>
    <t>772-2514</t>
  </si>
  <si>
    <t>1830-1863</t>
  </si>
  <si>
    <t>3007-5224</t>
  </si>
  <si>
    <t>3415-4998</t>
  </si>
  <si>
    <t>1050-1583</t>
  </si>
  <si>
    <t>LIIKLUSSAGEDUS autot/ööp                  (2014)</t>
  </si>
  <si>
    <t>JRK NR</t>
  </si>
  <si>
    <t>Ehitamine</t>
  </si>
  <si>
    <t>Tegevuste lühikirjeldus</t>
  </si>
  <si>
    <t>Variku viadukt - Raja tn (nn Riia ring)</t>
  </si>
  <si>
    <t>2 möödasõiduala (2+1) mõlemas suunas</t>
  </si>
  <si>
    <t xml:space="preserve">
Ehitus ja rekonstrueerimine </t>
  </si>
  <si>
    <t>ei ole võimalik ühe projektiga teha</t>
  </si>
  <si>
    <t>tehakse ühe projektiga</t>
  </si>
  <si>
    <t>formaalselt võib liita,</t>
  </si>
  <si>
    <t>see lõik kindlasti eraldi</t>
  </si>
  <si>
    <t>eraldi</t>
  </si>
  <si>
    <t xml:space="preserve">Tee 36Jõgeva-Mustvee kaks lõiku üheks objektiks  ei sobi,  kuna km 25-33 projekt valmib suvi 2016 ning teisele lõigule pole veel alustatud projekteerimist </t>
  </si>
  <si>
    <t>tee 36 km 33-38 on mõistlik üheks objektiks teha teega 13114. Mõlemad lõigud on asuvad sisuliselt mustvee linnas</t>
  </si>
  <si>
    <t xml:space="preserve">kui tee 90 kokku liita siis kõik 4 lõiku kokku ja kolme aasta peale alustame lõiguga km 11,3-27,30 ja üle jäänud lõigud tulevad  2019 aastal </t>
  </si>
  <si>
    <t>kaks erinevat lõiku, sobib teha ühe projekti järgi, kuid vahepealne lõik jääb välja (tehakse 2016)</t>
  </si>
  <si>
    <t>Tundub, et võib liita kuid realiseerimine toimub etapiviisiliselt</t>
  </si>
  <si>
    <t>formaalselt võib liita, kuid vahepealne lõik on linnalõik</t>
  </si>
  <si>
    <t>koos kaheaastase projektina</t>
  </si>
  <si>
    <t>need 3 lõiku saab kokku panna</t>
  </si>
  <si>
    <t>põhimõtteliselt võimalik</t>
  </si>
  <si>
    <t>need 2 saab kokku panna</t>
  </si>
  <si>
    <t>ei saa</t>
  </si>
  <si>
    <t>võib liita, kuid vahepealne lõik ei pruugi töösse minna</t>
  </si>
  <si>
    <t>võib liita, kuid ma arvan, et lükkub sellest perioodist välja, kuna värsked pindamised olemas või tulemas</t>
  </si>
  <si>
    <t>need saab ka liita</t>
  </si>
  <si>
    <t>sobib</t>
  </si>
  <si>
    <t>Riigitulu baas</t>
  </si>
  <si>
    <t>Lisanduv riigitulu</t>
  </si>
  <si>
    <t>Kokku:</t>
  </si>
  <si>
    <t xml:space="preserve">Põhimaantee ja Sillamäe sadama raudtee kahetasandilise ristmiku rajamine. Kahetasandiline ristumine Tolstoi tn ning Sillamäe-Vaivara mnt-ga. Sillamäe linna idapoolne lõigu liiklusohutuse parandamine.    </t>
  </si>
  <si>
    <t>1 möödasõiduala mõlemas suunas</t>
  </si>
  <si>
    <t xml:space="preserve">2+2 teelõigu ehitus Luige ja Juuliku sõlmede vahele  </t>
  </si>
  <si>
    <t>Eritasandiline ristmik, 2+2 teelõik Saku ja Kanama sõlmede vahel</t>
  </si>
  <si>
    <t xml:space="preserve">Saue - Topi sõlm ühendustee </t>
  </si>
  <si>
    <t xml:space="preserve">Saue linn - Topi sõlm ühendustee koos    Vääna jõe sillaga  </t>
  </si>
  <si>
    <t>Välisvahendid</t>
  </si>
  <si>
    <t>Kaasfinantseering (riigitulu)</t>
  </si>
  <si>
    <t>Eesti raha (riigitulu)</t>
  </si>
  <si>
    <t>kontroll</t>
  </si>
  <si>
    <t xml:space="preserve">LISA 4. 2020-2030 riigimaanteede teede ehitusobjektide täiendav ettepanek (RIIGIRAHA OBJEKTID)   </t>
  </si>
  <si>
    <t xml:space="preserve">* Teehoiu rahastamine vastavalt Riigi eelarvestrateegiale 2017-2020 </t>
  </si>
  <si>
    <t>2020*</t>
  </si>
  <si>
    <t>2007-2013 ja 2014-2020 välisvahendid**</t>
  </si>
  <si>
    <t>** Välisvahendite täpsutatud väljamaksete prognoos seisuga mai 2016</t>
  </si>
  <si>
    <t>2014+ riigimaanteede  TEN-T teede rekonstrueerimisobjektid (ÜF rahastus ja eesti rahastus)</t>
  </si>
  <si>
    <t>*Riigieelarve</t>
  </si>
  <si>
    <t>Kuiaru-Mannare*</t>
  </si>
  <si>
    <t>Jüri-Vaida*</t>
  </si>
  <si>
    <t>Ridase-Virtsu*</t>
  </si>
  <si>
    <t>Pihtla-Kuressaare*</t>
  </si>
  <si>
    <t xml:space="preserve">Liiklusohutuse parandamine, kiirus 110 km/h,  Loksa eritasandilise ristmiku ehitus km 52.  Ohtlike mahasõidude sulgemine, keskpiire Kuusalu-Valgejõe lõigule     </t>
  </si>
  <si>
    <t xml:space="preserve">Liiklusohutuse parandamine, kiirus 110 km/h,  Loksa eritasandilise ristmiku ehitus km 52.  Ohtlike mahasõidude sulgemine, keskpiire Kuusalu-Valgejõe      </t>
  </si>
  <si>
    <t>Kuiaru-Mannare</t>
  </si>
  <si>
    <t>Ridase-Virtsu</t>
  </si>
  <si>
    <t>Kattega teede säilitusremont |900-1200 km aastas</t>
  </si>
  <si>
    <t>Programm "Kruusateed tolmuvabaks" riigiteedel |50-100 km aastas</t>
  </si>
  <si>
    <t>Kernu</t>
  </si>
  <si>
    <t xml:space="preserve">Kernu </t>
  </si>
  <si>
    <t xml:space="preserve">NR 4 TALLINN - PÄRNU-IKLA  </t>
  </si>
  <si>
    <t>lisatud avariiremont</t>
  </si>
  <si>
    <t>muudetud vastavalt sõlmitud lepingule</t>
  </si>
  <si>
    <t>3 möödasõiduala mõlemas suunas</t>
  </si>
  <si>
    <t>NR 7 RIIA-PIHKVA</t>
  </si>
  <si>
    <t>Objekti 
aadress
(indikatiivne)</t>
  </si>
  <si>
    <t>NR 7 RIIA - PIHKVA</t>
  </si>
  <si>
    <t>21315, 17988</t>
  </si>
  <si>
    <t>RES 2018-2021 läbirääkimiste tulemus</t>
  </si>
  <si>
    <t>2022 prognoos</t>
  </si>
  <si>
    <t>Kärbete mõju arvesdtusega, et kulu jääb sarnasele tasemele nagu 2022</t>
  </si>
  <si>
    <t>Hoolde lepingute vähenemine vastavalt Hooldevaldkonna prognoosile uute hindade põhjal - mõju puudub.</t>
  </si>
  <si>
    <t>2021+</t>
  </si>
  <si>
    <t>Kärevere-Kardla</t>
  </si>
  <si>
    <t>välisvahendid</t>
  </si>
  <si>
    <t>Aaspere- Haljala lõik</t>
  </si>
  <si>
    <t>VIA Baltica</t>
  </si>
  <si>
    <t>THK  2014 - 2020 - Sildade taastusremondi nimekiri 2018-2021.a.</t>
  </si>
  <si>
    <t>PINGEREAS  KOHT</t>
  </si>
  <si>
    <t>SILLA    NUMBER</t>
  </si>
  <si>
    <t>SI</t>
  </si>
  <si>
    <t>SILLA NIMETUS</t>
  </si>
  <si>
    <t>TEE    NR</t>
  </si>
  <si>
    <t>ALGUS [m]</t>
  </si>
  <si>
    <t>PIKKUS [m]</t>
  </si>
  <si>
    <t>GABARIIT  [m]</t>
  </si>
  <si>
    <t>REGIOON</t>
  </si>
  <si>
    <t>LIIKLUSSAGEDUS (a/ööp.)</t>
  </si>
  <si>
    <t>EHITUSAASTA</t>
  </si>
  <si>
    <t>TAASTUSREMONDI MAKSUMUS</t>
  </si>
  <si>
    <t>2017.a</t>
  </si>
  <si>
    <t>2018.a</t>
  </si>
  <si>
    <t>2019.a</t>
  </si>
  <si>
    <t>2020.a</t>
  </si>
  <si>
    <t>2021.a</t>
  </si>
  <si>
    <t>REMONDI AASTA VAREM KINNITATUD NIMEKIRJAS</t>
  </si>
  <si>
    <t>SILDADE TAASTUSREMONT</t>
  </si>
  <si>
    <t>UUS</t>
  </si>
  <si>
    <t>2020+</t>
  </si>
  <si>
    <t>SILDADE PROJEKTEERIMISED JA EKSPERTIISID</t>
  </si>
  <si>
    <t xml:space="preserve">SILDADE OJV-d  </t>
  </si>
  <si>
    <t>HOOLDELEPINGU RAAMES  REMONTTÖÖD</t>
  </si>
  <si>
    <t>PAISUDE LIKVIDEERIMISE  PROGRAMM   KIK-i rahastus 2017-2018.a.</t>
  </si>
  <si>
    <t>sum 16-20</t>
  </si>
  <si>
    <t>REKi objektid 2016_Eesti kokku</t>
  </si>
  <si>
    <t>sum 16-19</t>
  </si>
  <si>
    <t>EESTI JRK NR</t>
  </si>
  <si>
    <t>SOSA</t>
  </si>
  <si>
    <t>ALG KM</t>
  </si>
  <si>
    <t>LÕPP KM</t>
  </si>
  <si>
    <t>LIIKLUSSAGEDUS autot/ööp</t>
  </si>
  <si>
    <t>KOONDINDEKS</t>
  </si>
  <si>
    <t>ASULA LÕIK</t>
  </si>
  <si>
    <t>2017 THK</t>
  </si>
  <si>
    <t>2017 tegelik</t>
  </si>
  <si>
    <t>2018 THK</t>
  </si>
  <si>
    <t>2018 tegelik</t>
  </si>
  <si>
    <t>2019 THK</t>
  </si>
  <si>
    <t>2019 tegelik</t>
  </si>
  <si>
    <t>2020 THK</t>
  </si>
  <si>
    <t>2020 tegelik</t>
  </si>
  <si>
    <t>2021 tegelik</t>
  </si>
  <si>
    <t>2021 joonealused</t>
  </si>
  <si>
    <t xml:space="preserve">Märkused </t>
  </si>
  <si>
    <t>Põhja</t>
  </si>
  <si>
    <t xml:space="preserve">Harju maakond:100.0% </t>
  </si>
  <si>
    <t xml:space="preserve">1830:67% 570:33% </t>
  </si>
  <si>
    <t>Saku alevik km 7-7,7</t>
  </si>
  <si>
    <t>THK.</t>
  </si>
  <si>
    <t>Ida</t>
  </si>
  <si>
    <t xml:space="preserve">Ida-Viru:100% </t>
  </si>
  <si>
    <t xml:space="preserve">1031:100% </t>
  </si>
  <si>
    <t>Kohtla-Nõmme alev</t>
  </si>
  <si>
    <t xml:space="preserve">2534:100% </t>
  </si>
  <si>
    <t xml:space="preserve">Lääne-Viru:100% </t>
  </si>
  <si>
    <t xml:space="preserve">592:100% </t>
  </si>
  <si>
    <t xml:space="preserve">Lõuna </t>
  </si>
  <si>
    <t xml:space="preserve">Võru :100% </t>
  </si>
  <si>
    <t xml:space="preserve">568:84% 905:16% </t>
  </si>
  <si>
    <t>THK. IK-B 03.05.17 (lükata edasi 18-19). Maksumus suurenes lähtuvalt 2017 hanke tulemustest, mis tuli tühistada kuna ületas rahvusvahelise hanke maksumust. Lõigu kilomeetritest on välja jäetud Misso aleviku lõik 2km</t>
  </si>
  <si>
    <t xml:space="preserve">Pärnu:100% </t>
  </si>
  <si>
    <t xml:space="preserve">2934:60% 1021:40% </t>
  </si>
  <si>
    <t>Sindi</t>
  </si>
  <si>
    <t xml:space="preserve">THK. Projekteerimise järgne maksumus. </t>
  </si>
  <si>
    <t xml:space="preserve">Tartu :82% Jõgeva :18% </t>
  </si>
  <si>
    <t xml:space="preserve">961:67% 721:31% 671:3% </t>
  </si>
  <si>
    <t xml:space="preserve">Põlva :100% </t>
  </si>
  <si>
    <t xml:space="preserve">920:100% </t>
  </si>
  <si>
    <t>THK. Kallinemine lähtuvalt hanke maksumusest</t>
  </si>
  <si>
    <t xml:space="preserve">615:100% </t>
  </si>
  <si>
    <t>THK.  Realiseeritakse koos teega 45 ühise objektina (toodud aasta varemaks)</t>
  </si>
  <si>
    <t xml:space="preserve">1816:56% 1799:44% </t>
  </si>
  <si>
    <t>THK. Kalline kuna sisaldab mitut LOK objekti ning tee õgvendamist ja ristmikke ümber ehitust</t>
  </si>
  <si>
    <t xml:space="preserve">1224:100% </t>
  </si>
  <si>
    <t>THK. Summa viidud vastavaks 350 000 eur/km</t>
  </si>
  <si>
    <t xml:space="preserve">1102:51% 920:49% </t>
  </si>
  <si>
    <t xml:space="preserve">Viljandi:100% </t>
  </si>
  <si>
    <t xml:space="preserve">2343:75% 1206:17% 3204:8% </t>
  </si>
  <si>
    <t xml:space="preserve">883:87% 752:13% </t>
  </si>
  <si>
    <t>50/47</t>
  </si>
  <si>
    <t>THK. Liidetud kokku üheks objektiks.</t>
  </si>
  <si>
    <t xml:space="preserve">Jõgeva :100% </t>
  </si>
  <si>
    <t xml:space="preserve">1656:60% 1284:40% </t>
  </si>
  <si>
    <t>Mustvee</t>
  </si>
  <si>
    <t xml:space="preserve">THK. </t>
  </si>
  <si>
    <t xml:space="preserve">1749:66% 2396:34% </t>
  </si>
  <si>
    <t xml:space="preserve">334:57% 355:39% 802:4% </t>
  </si>
  <si>
    <t>THK. Objekti algus viibib, muudetud rahalist jaotust ning kogusumma on jäänud samaks.</t>
  </si>
  <si>
    <t xml:space="preserve">831:100% </t>
  </si>
  <si>
    <t xml:space="preserve">962:87% 643:13% </t>
  </si>
  <si>
    <t>Kiisa alevik km 4,2-5,0</t>
  </si>
  <si>
    <t>THK. Koos 11243 Kiisa jaama teega km 0,0-0,186</t>
  </si>
  <si>
    <t xml:space="preserve">750:55% 693:45% </t>
  </si>
  <si>
    <t xml:space="preserve">Lääne:100% </t>
  </si>
  <si>
    <t xml:space="preserve">786:100% </t>
  </si>
  <si>
    <t xml:space="preserve">1239:100% </t>
  </si>
  <si>
    <t xml:space="preserve">1342:100% </t>
  </si>
  <si>
    <t>THK. Kallinemine kuna esialgu oli THK-s  objekt lühem.</t>
  </si>
  <si>
    <t xml:space="preserve">Rapla maakond:100.0% </t>
  </si>
  <si>
    <t xml:space="preserve">1082:100% </t>
  </si>
  <si>
    <t xml:space="preserve">604:100% </t>
  </si>
  <si>
    <t>2019.a. objektid.</t>
  </si>
  <si>
    <t>Rohelisega - Joonealused objektid ca 20% 2018</t>
  </si>
  <si>
    <t>Nehatu - Loo - Lagedi</t>
  </si>
  <si>
    <t xml:space="preserve">1537:100% </t>
  </si>
  <si>
    <t>Loo alevik 400 m</t>
  </si>
  <si>
    <t xml:space="preserve">1021:100% </t>
  </si>
  <si>
    <t xml:space="preserve">1005:100% </t>
  </si>
  <si>
    <t xml:space="preserve">1780:100% </t>
  </si>
  <si>
    <t xml:space="preserve">533:56% 1782:44% </t>
  </si>
  <si>
    <t>Antsla</t>
  </si>
  <si>
    <t>THK. Üks objekt koos 70-ga. Kallinemine kuna lisatud asula vahelist maksumust (700 tuh/km)</t>
  </si>
  <si>
    <t xml:space="preserve">1003:100% </t>
  </si>
  <si>
    <t>THK. Üks objekt koos 25194 ja 23129. Kallinemine kuna lisatud  asula vahelist maksumust (700 tuh/km)</t>
  </si>
  <si>
    <t xml:space="preserve">477:53% 406:45% 1096:2% </t>
  </si>
  <si>
    <t xml:space="preserve">1518:71% 1103:29% </t>
  </si>
  <si>
    <t xml:space="preserve">3199:98% 844:2% </t>
  </si>
  <si>
    <t xml:space="preserve">579:100% </t>
  </si>
  <si>
    <t xml:space="preserve">653:100% </t>
  </si>
  <si>
    <t>THK. Edasi lükatud, kuna tee nr 63 objekt on ettepoole toodud. Kallinemine vastavalt projekteerimise tulemusele.</t>
  </si>
  <si>
    <t xml:space="preserve">1474:100% </t>
  </si>
  <si>
    <t xml:space="preserve">607:100% </t>
  </si>
  <si>
    <t>Veriora alevik</t>
  </si>
  <si>
    <t xml:space="preserve">THK. Kahele aastale jagatud seoses Antsla linna lõikude muudetud maksumusega (asula vahe lõikude rek-imine on kallim kui maantee oma). </t>
  </si>
  <si>
    <t xml:space="preserve">707:100% </t>
  </si>
  <si>
    <t xml:space="preserve">664:100% </t>
  </si>
  <si>
    <t>THK. Projekt ei valmi 2017 aastal</t>
  </si>
  <si>
    <t xml:space="preserve">1858:100% </t>
  </si>
  <si>
    <t xml:space="preserve">THK. Tee seisund võimaldab edasi lükkamist. </t>
  </si>
  <si>
    <t xml:space="preserve">1234:94% 394:6% </t>
  </si>
  <si>
    <t>Riispere alevik</t>
  </si>
  <si>
    <t xml:space="preserve">THK-s 2017- 0,1; 2018- 0,98. Võimalik et realiseerimine  2020  koos EVRga. Kaalutakse lahendust, kus teoreetiliselt võib lõpuks juhtuda, et T-11162 selles mahus ei rekonstrueerita, vaid ehitatakse T-9-ga ühendustee uuele trassile. </t>
  </si>
  <si>
    <t xml:space="preserve">603:58% 786:42% </t>
  </si>
  <si>
    <t xml:space="preserve">1102:100% 1782:0% </t>
  </si>
  <si>
    <t xml:space="preserve">1929:100% </t>
  </si>
  <si>
    <t xml:space="preserve">905:76% 1084:24% </t>
  </si>
  <si>
    <t>THK. Objekti hulka on lisandunud Misso aleviku lõik ja sellega suurendatud objekti maksumust</t>
  </si>
  <si>
    <t xml:space="preserve">Järva:100% </t>
  </si>
  <si>
    <t xml:space="preserve">909:100% </t>
  </si>
  <si>
    <t>THK. Lõiku pikendatud kuni karjääri väljaveo teeni. Summa täpsustatud.</t>
  </si>
  <si>
    <t>Tallinn - Tartu - Võru - Luhamaa</t>
  </si>
  <si>
    <t xml:space="preserve">6522:57% 9455:22% 11530:20% 5579:1% </t>
  </si>
  <si>
    <t>Risti-Virtsu-Kuivastu-Kuressaare</t>
  </si>
  <si>
    <t>lääne</t>
  </si>
  <si>
    <t>Töögrupi B ettepanek.</t>
  </si>
  <si>
    <t>1517:100%</t>
  </si>
  <si>
    <t>Karksi-Nuia</t>
  </si>
  <si>
    <t xml:space="preserve">Töögrupi B ettepanek. </t>
  </si>
  <si>
    <t>2020.a. objektid.</t>
  </si>
  <si>
    <t>Rohelisega - Joonealused objektid ca 20% 2019</t>
  </si>
  <si>
    <t xml:space="preserve">1021:87% 841:13% </t>
  </si>
  <si>
    <t>Tori alevik</t>
  </si>
  <si>
    <t xml:space="preserve"> THK.  Tee seisund võimaldab ühe aasta võrra edasi lükata.</t>
  </si>
  <si>
    <t>THK.Tee seisukord võimaldab ühe aasta võrra edasi lükata</t>
  </si>
  <si>
    <t xml:space="preserve">Valga :100% </t>
  </si>
  <si>
    <t xml:space="preserve">820:100% </t>
  </si>
  <si>
    <t>THK. Jagatud lõuna regioonis kahele aastale seoses Antsla linna lõikude muudetud maksumusega. Kallinemine kuna  asula lõikude  rekostrueerimine on kallim kui maanteel</t>
  </si>
  <si>
    <t xml:space="preserve">843:100% </t>
  </si>
  <si>
    <t xml:space="preserve">2044:87% 1352:13% </t>
  </si>
  <si>
    <t xml:space="preserve">Toila alevik </t>
  </si>
  <si>
    <t>THK. Tee seisukord võimaldab ühe aasta võrra edasi lükata</t>
  </si>
  <si>
    <t xml:space="preserve">1634:100% </t>
  </si>
  <si>
    <t xml:space="preserve">1330:65% 1928:35% </t>
  </si>
  <si>
    <t xml:space="preserve">THK. Tee seisukord võimaldab ühe aasta võrra edasi lükata. </t>
  </si>
  <si>
    <t xml:space="preserve">1488:100% </t>
  </si>
  <si>
    <t>Aruküla alevik</t>
  </si>
  <si>
    <t xml:space="preserve">1437:100% </t>
  </si>
  <si>
    <t>THK. Summa täpsustatud.</t>
  </si>
  <si>
    <t xml:space="preserve">1551:100% </t>
  </si>
  <si>
    <t xml:space="preserve">Saare:100% </t>
  </si>
  <si>
    <t xml:space="preserve">1200:100% </t>
  </si>
  <si>
    <t>27/26</t>
  </si>
  <si>
    <t xml:space="preserve">Regiooni ettepanek/analüüsist. Koos Salme sillaga. </t>
  </si>
  <si>
    <t xml:space="preserve">604:74% 786:26% </t>
  </si>
  <si>
    <t xml:space="preserve">1206:100% </t>
  </si>
  <si>
    <t>THK. Üheks objektiks kokku liidetud, 64,7-68,9 ja 68,9-71,6. Summa täpsustatud.</t>
  </si>
  <si>
    <t>Kuressaare-Kihelkonna-Veere</t>
  </si>
  <si>
    <t xml:space="preserve">Saare </t>
  </si>
  <si>
    <t xml:space="preserve">Töögrupi B ettepanek. Koos Matu sillaga remondiga.  </t>
  </si>
  <si>
    <t>2021.a. objektid.</t>
  </si>
  <si>
    <t>Rohelisega - Joonealused objektid 2% 2020</t>
  </si>
  <si>
    <t>Jänesselja - Urge</t>
  </si>
  <si>
    <t xml:space="preserve">1051:100% </t>
  </si>
  <si>
    <t>THK. Tee seisukord võimaldab kaks aastat võrra edasi lükata</t>
  </si>
  <si>
    <t xml:space="preserve">992:91% 592:9% </t>
  </si>
  <si>
    <t>50/41</t>
  </si>
  <si>
    <t>Regiooni ettepanek/analüüsist.</t>
  </si>
  <si>
    <t xml:space="preserve">Võru :99% Valga :1% </t>
  </si>
  <si>
    <t xml:space="preserve">970:100% </t>
  </si>
  <si>
    <t>47/37</t>
  </si>
  <si>
    <t xml:space="preserve">Regiooni ettepanek/analüüsist. </t>
  </si>
  <si>
    <t xml:space="preserve">Pärnu:88% Viljandi:12% </t>
  </si>
  <si>
    <t xml:space="preserve">952:100% </t>
  </si>
  <si>
    <t xml:space="preserve">Tartu :100% </t>
  </si>
  <si>
    <t xml:space="preserve">3258:100% </t>
  </si>
  <si>
    <t xml:space="preserve">844:92% 787:8% </t>
  </si>
  <si>
    <t>THK. Tee seisukord võimaldab aasta võrra edasi lükata. Summa täpsustatud.</t>
  </si>
  <si>
    <t xml:space="preserve">3438:51% 1950:28% 2535:21% </t>
  </si>
  <si>
    <t xml:space="preserve">Hiiu:100% </t>
  </si>
  <si>
    <t xml:space="preserve">272:59% 988:41% </t>
  </si>
  <si>
    <t>Käina alevik</t>
  </si>
  <si>
    <t xml:space="preserve">Rapla maakond:51.0% Harju maakond:49.0% </t>
  </si>
  <si>
    <t xml:space="preserve">1208:100% </t>
  </si>
  <si>
    <t>Aespa alevik</t>
  </si>
  <si>
    <t xml:space="preserve">867:100% </t>
  </si>
  <si>
    <t>THK. Tee seisukord võimaldab aasta võrra edasi  lükata.</t>
  </si>
  <si>
    <t xml:space="preserve">2432:85% 2193:15% </t>
  </si>
  <si>
    <t xml:space="preserve">721:100% </t>
  </si>
  <si>
    <t xml:space="preserve">741:62% 721:38% </t>
  </si>
  <si>
    <t xml:space="preserve">3204:78% 4924:15% 5707:7% </t>
  </si>
  <si>
    <t xml:space="preserve">988:100% </t>
  </si>
  <si>
    <t>Käravete - Aravete</t>
  </si>
  <si>
    <t xml:space="preserve">1100:100% </t>
  </si>
  <si>
    <t>Aravete alevik</t>
  </si>
  <si>
    <t xml:space="preserve">2582:100% </t>
  </si>
  <si>
    <t>Töögrupi B ringsõidu ettepanek.</t>
  </si>
  <si>
    <t>Joonealused objektid 20% 2021</t>
  </si>
  <si>
    <t>Jõgeva - Põltsamaa</t>
  </si>
  <si>
    <t xml:space="preserve">2119:58% 1499:42% </t>
  </si>
  <si>
    <t>THK. Tee seisukord võimaldab edasi lükkamist.</t>
  </si>
  <si>
    <t xml:space="preserve">751:100% </t>
  </si>
  <si>
    <t xml:space="preserve">1123:100% </t>
  </si>
  <si>
    <t>Vapramäe - Elva - Kalme</t>
  </si>
  <si>
    <t xml:space="preserve">1062:100% </t>
  </si>
  <si>
    <t xml:space="preserve">958:100% </t>
  </si>
  <si>
    <t>Kokku 2018</t>
  </si>
  <si>
    <t xml:space="preserve"> kontroll nr </t>
  </si>
  <si>
    <t>Kokku 2019</t>
  </si>
  <si>
    <t>kokku 2020</t>
  </si>
  <si>
    <t>kokku 2021</t>
  </si>
  <si>
    <t>Täiendavad objektid</t>
  </si>
  <si>
    <t>Pärnu-Lihula</t>
  </si>
  <si>
    <t>Pärnu-Jaagupi-Kalli</t>
  </si>
  <si>
    <t>Reola-Unipiha</t>
  </si>
  <si>
    <t>Muuga-Hutita</t>
  </si>
  <si>
    <t>Täiendav objekt, regiooni ettepanek</t>
  </si>
  <si>
    <t>Kruusateede remondiobjektide nimekiri 2018 aastaks</t>
  </si>
  <si>
    <t>Jrk nr</t>
  </si>
  <si>
    <t>Regioon</t>
  </si>
  <si>
    <t>Algus m</t>
  </si>
  <si>
    <t>Lõpp m</t>
  </si>
  <si>
    <t>Pikkus m</t>
  </si>
  <si>
    <t>Prognoositav maksumus</t>
  </si>
  <si>
    <t>RVindeks</t>
  </si>
  <si>
    <t>Lõuna regioon</t>
  </si>
  <si>
    <t>Valga maakond</t>
  </si>
  <si>
    <t>Rulli - Jõgeveste</t>
  </si>
  <si>
    <t>Põlva maakond</t>
  </si>
  <si>
    <t>Suure-Veerksu - Väike-Veerksu</t>
  </si>
  <si>
    <t>KRUUSATEEDE REMONT 2018</t>
  </si>
  <si>
    <t>Lääne regioon</t>
  </si>
  <si>
    <t>Saare maakond</t>
  </si>
  <si>
    <t>Tehumardi - Kogula</t>
  </si>
  <si>
    <t>Lääne maakond</t>
  </si>
  <si>
    <t>Tuudi - Saastna</t>
  </si>
  <si>
    <t>Prognoositav maksumus kokku</t>
  </si>
  <si>
    <t>Pärnu maakond</t>
  </si>
  <si>
    <t>Kärbu - Kõima</t>
  </si>
  <si>
    <t>Ida regioon</t>
  </si>
  <si>
    <t>Võru maakond</t>
  </si>
  <si>
    <t>Visela - Kassi</t>
  </si>
  <si>
    <t>Are - Elbu</t>
  </si>
  <si>
    <t>Põhja regioon</t>
  </si>
  <si>
    <t>Jäärja - Tali</t>
  </si>
  <si>
    <t>Üldkokkuvõte</t>
  </si>
  <si>
    <t>Tihemetsa - Kärsu</t>
  </si>
  <si>
    <t>Tori - Massu</t>
  </si>
  <si>
    <t>Eelarve 2018</t>
  </si>
  <si>
    <t>Hiiu maakond</t>
  </si>
  <si>
    <t>Palade - Tubala</t>
  </si>
  <si>
    <t>Saverna - Tillundi</t>
  </si>
  <si>
    <t>Räpina - Rasina</t>
  </si>
  <si>
    <t>Rapla maakond</t>
  </si>
  <si>
    <t>Käru - Kädva</t>
  </si>
  <si>
    <t>Viluste - Lindora</t>
  </si>
  <si>
    <t>Erastvere - Sillaotsa</t>
  </si>
  <si>
    <t>Tartu maakond</t>
  </si>
  <si>
    <t>Melliste - Heiti</t>
  </si>
  <si>
    <t>Adiste - Kooskora</t>
  </si>
  <si>
    <t>Helme - Oru</t>
  </si>
  <si>
    <t>Harju - Leisu</t>
  </si>
  <si>
    <t>Keisripalu - Upruse</t>
  </si>
  <si>
    <t>Kõmsi - Mõisaküla - Salevere</t>
  </si>
  <si>
    <t>Libatse - Langerma</t>
  </si>
  <si>
    <t>Käina - Hüti</t>
  </si>
  <si>
    <t>Koobassaare - Rebasemõisa</t>
  </si>
  <si>
    <t>Sipa - Varbola</t>
  </si>
  <si>
    <t>Haaslava - Aadami - Uniküla</t>
  </si>
  <si>
    <t>Kalme - Roobe</t>
  </si>
  <si>
    <t>Nurste - Kuriste</t>
  </si>
  <si>
    <t>Vanamõisa - Koonga - Ahaste</t>
  </si>
  <si>
    <t>Hertu - Põrsaku - Keava</t>
  </si>
  <si>
    <t>Koikse - Jalase - Riidaku</t>
  </si>
  <si>
    <t>Tuksi - Spithami</t>
  </si>
  <si>
    <t>Vaopere - Tamsi - Kuimetsa</t>
  </si>
  <si>
    <t>Viljandi maakond</t>
  </si>
  <si>
    <t>Viljandi - Metsküla</t>
  </si>
  <si>
    <t>Lipa - Mõisamaa</t>
  </si>
  <si>
    <t>Kelba - Ohulepa</t>
  </si>
  <si>
    <t>Vaimõisa - Nurme</t>
  </si>
  <si>
    <t>Lodja - Saunametsa</t>
  </si>
  <si>
    <t>Ida-Viru maakond</t>
  </si>
  <si>
    <t>Jõuga - Koldamäe</t>
  </si>
  <si>
    <t>Abja-Paluoja - Sarja - Tõlla</t>
  </si>
  <si>
    <t>Jõgeva maakond</t>
  </si>
  <si>
    <t>Torma - Kivijärve</t>
  </si>
  <si>
    <t>Kobratu - Ellia</t>
  </si>
  <si>
    <t>Mustla - Mõnnaste</t>
  </si>
  <si>
    <t>Tagavere - Taaliku</t>
  </si>
  <si>
    <t>Loodi - Nõmme</t>
  </si>
  <si>
    <t>Järva maakond</t>
  </si>
  <si>
    <t>Ambla - Rava</t>
  </si>
  <si>
    <t>Lemmiku - Tiidu - Metsapark</t>
  </si>
  <si>
    <t>Põikva - Pikkmetsa</t>
  </si>
  <si>
    <t>Ämmuste tee</t>
  </si>
  <si>
    <t>Rõuge - Vastseliina</t>
  </si>
  <si>
    <t>Hanikase - Luuska</t>
  </si>
  <si>
    <t>Tobrova - Helbi</t>
  </si>
  <si>
    <t>Sillaotsa - Restu</t>
  </si>
  <si>
    <t>Männiku - Pühajärve</t>
  </si>
  <si>
    <t>Ridalepa - Lavassaare</t>
  </si>
  <si>
    <t>Järva-Jaani - Kodasema</t>
  </si>
  <si>
    <t>Võõpsu - Käre</t>
  </si>
  <si>
    <t>Holdre - Läti piir</t>
  </si>
  <si>
    <t>Tagamõisa - Undva</t>
  </si>
  <si>
    <t>Kalitsa - Koeru - Udeva - Preedi</t>
  </si>
  <si>
    <t>Pikknurme - Härjanurme</t>
  </si>
  <si>
    <t>Mäetaguse - Iisaku</t>
  </si>
  <si>
    <t>Ervita - Liusvere</t>
  </si>
  <si>
    <t>Elia tee</t>
  </si>
  <si>
    <t>Kivijärve - Varbevere</t>
  </si>
  <si>
    <t>Igavere tee</t>
  </si>
  <si>
    <t>Kurvitsa - Hutita</t>
  </si>
  <si>
    <t>Neanurme - Umbusi</t>
  </si>
  <si>
    <t>Oonurme - Peressaare</t>
  </si>
  <si>
    <t>Jalalõpe - Rava</t>
  </si>
  <si>
    <t>Kotlandi - Koki</t>
  </si>
  <si>
    <t>Aruküla - Põikva</t>
  </si>
  <si>
    <t>Raiga - Räbi - Nõuni - Lutike</t>
  </si>
  <si>
    <t>Rõõmu - Viira</t>
  </si>
  <si>
    <t>Surju - Saunametsa</t>
  </si>
  <si>
    <t>Vilaski - Tinuküla</t>
  </si>
  <si>
    <t>Võibla - Erala</t>
  </si>
  <si>
    <t>Väimela - Kääpa</t>
  </si>
  <si>
    <t>Epra - Sürgavere - Klaassepa</t>
  </si>
  <si>
    <t>Tõhela - Alu - Murru</t>
  </si>
  <si>
    <t>Nõuni - Lasteaed</t>
  </si>
  <si>
    <t>Libatse - Enge</t>
  </si>
  <si>
    <t>Suurküla - Parksepa</t>
  </si>
  <si>
    <t>Nigula - Pataste</t>
  </si>
  <si>
    <t>Puurina - Lüllemäe - Litsmetsa</t>
  </si>
  <si>
    <t>Kaarepere - Visusti</t>
  </si>
  <si>
    <t>Kirikuküla - Koigu</t>
  </si>
  <si>
    <t>Kuutsi - Peebu</t>
  </si>
  <si>
    <t>Laanemetsa - Kirikuküla</t>
  </si>
  <si>
    <t>Visela - Kuldre</t>
  </si>
  <si>
    <t>Lilu tee</t>
  </si>
  <si>
    <t>Ametmäe - Punga - Rebaste</t>
  </si>
  <si>
    <t>Kõpsi - Lepa</t>
  </si>
  <si>
    <t>Palli - Ruusmäe</t>
  </si>
  <si>
    <t>Priipalu - Noorkõivu</t>
  </si>
  <si>
    <t>Kruusateede remondiobjektide nimekiri 2019 aastaks</t>
  </si>
  <si>
    <t>Mõntsi tee</t>
  </si>
  <si>
    <t>Kirmsi - Kanassaare</t>
  </si>
  <si>
    <t>Miiaste - Kanassaare</t>
  </si>
  <si>
    <t>Kähri - Mustajõe</t>
  </si>
  <si>
    <t>Maaritsa - Prangli</t>
  </si>
  <si>
    <t>Akste - Häätaru</t>
  </si>
  <si>
    <t>Lauriorg - Muhulaane</t>
  </si>
  <si>
    <t>Leevaku - Saareküla</t>
  </si>
  <si>
    <t>Veriora - Soohara</t>
  </si>
  <si>
    <t>Hanikase - Oro</t>
  </si>
  <si>
    <t>Kirmsi - Väike-Veerksu</t>
  </si>
  <si>
    <t>Meoma - Kirepi</t>
  </si>
  <si>
    <t>Loosu - Vasila</t>
  </si>
  <si>
    <t>Ritsiku - Hino</t>
  </si>
  <si>
    <t>Suislepa - Leebiku</t>
  </si>
  <si>
    <t>Rautina - Kaulina</t>
  </si>
  <si>
    <t>Sookalduse - Tammistu</t>
  </si>
  <si>
    <t>Väägvere - Tammistu</t>
  </si>
  <si>
    <t>Kõnnu - Ahunapalu</t>
  </si>
  <si>
    <t>Koikküla - Metsoja</t>
  </si>
  <si>
    <t>Sikakurmu - Järvselja</t>
  </si>
  <si>
    <t>Laatre - Kuiksilla</t>
  </si>
  <si>
    <t>Tõrva - Kirikuküla - Karjatnurme</t>
  </si>
  <si>
    <t>Uhendi - Aedniku</t>
  </si>
  <si>
    <t>Mustla - Pahuvere</t>
  </si>
  <si>
    <t>Luke - Unipiha</t>
  </si>
  <si>
    <t>Nõmba - Silde</t>
  </si>
  <si>
    <t>Haabsaare - Kaika</t>
  </si>
  <si>
    <t>Lepa tee</t>
  </si>
  <si>
    <t>Palivere - Keedika</t>
  </si>
  <si>
    <t>Vanassaare - Ruskavere</t>
  </si>
  <si>
    <t>Ridase - Saastna</t>
  </si>
  <si>
    <t>Leedi - Sadala</t>
  </si>
  <si>
    <t>Salu - Kaelase</t>
  </si>
  <si>
    <t>Vastemöisa - Võlli - Suure-Jaani</t>
  </si>
  <si>
    <t>Rannaküla tee</t>
  </si>
  <si>
    <t>Ahekõnnu tee</t>
  </si>
  <si>
    <t>Raadama tee</t>
  </si>
  <si>
    <t>Lokuta - Jõeküla</t>
  </si>
  <si>
    <t>Kolga-Jaani - Oiu</t>
  </si>
  <si>
    <t>Rõusa - Käru</t>
  </si>
  <si>
    <t>Holsta - Voki - Halla</t>
  </si>
  <si>
    <t>Metsküla - Jaaniveski</t>
  </si>
  <si>
    <t>Mõhküla - Eistvere</t>
  </si>
  <si>
    <t>Vakari - Pari - Tsiistre</t>
  </si>
  <si>
    <t>Kõpu - Tapiku</t>
  </si>
  <si>
    <t>Sihva - Vidrike - Kärgula - Järvere</t>
  </si>
  <si>
    <t>Valma - Väluste</t>
  </si>
  <si>
    <t>Kastna tee</t>
  </si>
  <si>
    <t>Vana-Vastseliina - Käänu</t>
  </si>
  <si>
    <t>Lääne-Viru maakond</t>
  </si>
  <si>
    <t>Jootme - Koeru</t>
  </si>
  <si>
    <t>Mäekalli - Aosilla</t>
  </si>
  <si>
    <t>Raadivere - Sääsküla</t>
  </si>
  <si>
    <t>Ridali - Joosu</t>
  </si>
  <si>
    <t>Kanaküla - Kamali</t>
  </si>
  <si>
    <t>Tali - Tuuliku - Massiaru</t>
  </si>
  <si>
    <t>Halliku - Kose</t>
  </si>
  <si>
    <t>Kaarma - Sauvere</t>
  </si>
  <si>
    <t>Tammiku - Pööra</t>
  </si>
  <si>
    <t>Maarja - Otslava</t>
  </si>
  <si>
    <t>Jaagupi - Urissaare</t>
  </si>
  <si>
    <t>Tsiistre - Misso - Rammuka</t>
  </si>
  <si>
    <t>Vao - Kalitsa</t>
  </si>
  <si>
    <t>Laiksaare - Massiaru - Teaste</t>
  </si>
  <si>
    <t>Vaabina raudteejaama tee</t>
  </si>
  <si>
    <t>Kuigatsi - Põru</t>
  </si>
  <si>
    <t>Ilmjärve - Kontsu</t>
  </si>
  <si>
    <t>Kannistiku - Koolitare</t>
  </si>
  <si>
    <t>Piibe - Preedi - Koeru</t>
  </si>
  <si>
    <t>Halliku - Pala</t>
  </si>
  <si>
    <t>Koordi ringtee</t>
  </si>
  <si>
    <t>Näduvere - Sadala</t>
  </si>
  <si>
    <t>Karilatsi - Heisri</t>
  </si>
  <si>
    <t>Oona - Puka - Kõrepi</t>
  </si>
  <si>
    <t>Hirmuste - Käesla</t>
  </si>
  <si>
    <t>Villemisilla - Pajumaa</t>
  </si>
  <si>
    <t>Luutsniku - Plaani</t>
  </si>
  <si>
    <t>Lüllemäe - Kiiviti</t>
  </si>
  <si>
    <t>Kagavere - Illevere</t>
  </si>
  <si>
    <t>Tõnija - Veeriku</t>
  </si>
  <si>
    <t>Laanemetsa - Koobassaare</t>
  </si>
  <si>
    <t>Tsooru - Krabi</t>
  </si>
  <si>
    <t>Kuremäe - Kaidma</t>
  </si>
  <si>
    <t>Kukevere - Käravete</t>
  </si>
  <si>
    <t>Priipalu - Kuigatsi</t>
  </si>
  <si>
    <t>Reo - Ilpla</t>
  </si>
  <si>
    <t>Moldova karjäär</t>
  </si>
  <si>
    <t>Laupa - Suurejõe</t>
  </si>
  <si>
    <t>Ulvi - Laekannu</t>
  </si>
  <si>
    <t>Ulvi - Lilastvere - Torma</t>
  </si>
  <si>
    <t>Vanaküla - Sininõmme</t>
  </si>
  <si>
    <t>Maidla - Hirmuse</t>
  </si>
  <si>
    <t>2019 KAVANDATUD KOKKU:</t>
  </si>
  <si>
    <t>Eelarve 2019</t>
  </si>
  <si>
    <t>Kruusateede remondiobjektide nimekiri 2020 aastaks</t>
  </si>
  <si>
    <t>Saverna - Krootuse</t>
  </si>
  <si>
    <t>Sikajala - Heisri</t>
  </si>
  <si>
    <t>Partsi - Timo</t>
  </si>
  <si>
    <t>Tilsi - Naruski</t>
  </si>
  <si>
    <t>Viluste - Mõtsavaara - Adleri</t>
  </si>
  <si>
    <t>Veski - Prangli</t>
  </si>
  <si>
    <t>Loko - Peetrimõisa</t>
  </si>
  <si>
    <t>Puide - Aitsra</t>
  </si>
  <si>
    <t>Karisilla - Usinitsa</t>
  </si>
  <si>
    <t>Vanamõisa tee</t>
  </si>
  <si>
    <t>Valgjärve - Krüüdneri</t>
  </si>
  <si>
    <t>Erastvere - Piigandi</t>
  </si>
  <si>
    <t>Karste - Mügra</t>
  </si>
  <si>
    <t>Ahja - Võnnu</t>
  </si>
  <si>
    <t>Lääniste - Vanamõisa</t>
  </si>
  <si>
    <t>Marjamäe - Tõutsi</t>
  </si>
  <si>
    <t>Valgjärve - Aiaste</t>
  </si>
  <si>
    <t>Karjatnurme - Holdre</t>
  </si>
  <si>
    <t>Laanemetsa - Taheva sanatoorium</t>
  </si>
  <si>
    <t>Holstre - Mõnnaste</t>
  </si>
  <si>
    <t>Ala - Kähu</t>
  </si>
  <si>
    <t>Lulli - Kikivere</t>
  </si>
  <si>
    <t>Põrga - Leebiku - Pikasilla</t>
  </si>
  <si>
    <t>Kalli - Tõstamaa - Värati</t>
  </si>
  <si>
    <t>Tõrva - Jeti - Valgjärve</t>
  </si>
  <si>
    <t>Uniküla - Vastse-Kuuste</t>
  </si>
  <si>
    <t>Husari - Sooküla - Hinsa</t>
  </si>
  <si>
    <t>Liispõllu - Järvselja - Aravu</t>
  </si>
  <si>
    <t>Vapramäe - Vellavere</t>
  </si>
  <si>
    <t>Kõpu - Tõramaa - Jõesuu</t>
  </si>
  <si>
    <t>Puhtu tee</t>
  </si>
  <si>
    <t>Jaama - Ristemäe</t>
  </si>
  <si>
    <t>Vaimastvere - Endla</t>
  </si>
  <si>
    <t>Rohuküla - Ahli - Ridala</t>
  </si>
  <si>
    <t>Heimtali - Uue-Kariste - Abja-Paluoja</t>
  </si>
  <si>
    <t>Kassari surnuaia tee</t>
  </si>
  <si>
    <t>Kõrgessaare - Hüti - Puski</t>
  </si>
  <si>
    <t>Oru - Soolu - Jalukse</t>
  </si>
  <si>
    <t>Luidja - Pärnaku</t>
  </si>
  <si>
    <t>Poama tee</t>
  </si>
  <si>
    <t>Peatskivi - Savastvere</t>
  </si>
  <si>
    <t>Värska - Podmotsa</t>
  </si>
  <si>
    <t>Keeni jaama tee</t>
  </si>
  <si>
    <t>Rannu - Paju</t>
  </si>
  <si>
    <t>Põvvatu - Sahkapuu</t>
  </si>
  <si>
    <t>Ortuma - Hinsa</t>
  </si>
  <si>
    <t>Pataste - Kaiavere - Luua</t>
  </si>
  <si>
    <t>Jaama - Kuningaküla</t>
  </si>
  <si>
    <t>Kaera - Liivoja</t>
  </si>
  <si>
    <t>Sadala - Tuimõisa - Reastvere</t>
  </si>
  <si>
    <t>Nõo vanadekodu tee</t>
  </si>
  <si>
    <t>Kiislova tee</t>
  </si>
  <si>
    <t>Rava - Roosna</t>
  </si>
  <si>
    <t>Jädivere - Kivi-Vigala</t>
  </si>
  <si>
    <t>Eidapere - Mukri</t>
  </si>
  <si>
    <t>Valgu - Libatse</t>
  </si>
  <si>
    <t>Kikkaoja - Savira</t>
  </si>
  <si>
    <t>Reegoldi - Kolgioja</t>
  </si>
  <si>
    <t>Pülme - Vanamõisa</t>
  </si>
  <si>
    <t>Keema - Ruhingu</t>
  </si>
  <si>
    <t>Kobela - Ohkatsi</t>
  </si>
  <si>
    <t>Eidapere - Kõnnu</t>
  </si>
  <si>
    <t>Taali - Põlendmaa - Seljametsa</t>
  </si>
  <si>
    <t>Maardla - Saarejärve</t>
  </si>
  <si>
    <t>Ädu - Aalde</t>
  </si>
  <si>
    <t>Kilbavere - Lilastvere</t>
  </si>
  <si>
    <t>Saarevälja - Kurukse - Saduküla</t>
  </si>
  <si>
    <t>Suurejõe - Vihtra - Jõesuu</t>
  </si>
  <si>
    <t>Lutike - Saluala</t>
  </si>
  <si>
    <t>Mihkli - Piiri</t>
  </si>
  <si>
    <t>Hellenurme - Mäelooga</t>
  </si>
  <si>
    <t>Võhmasaare - Jälevere</t>
  </si>
  <si>
    <t>Ruuna - Pringi</t>
  </si>
  <si>
    <t>Kõpsi - Mõttuse</t>
  </si>
  <si>
    <t>Eikla - Lussu</t>
  </si>
  <si>
    <t>Tiirimetsa - Lassi</t>
  </si>
  <si>
    <t>Kintsli - Nõuni</t>
  </si>
  <si>
    <t>Läätsa - Jämaja - Sääre - Mäebe</t>
  </si>
  <si>
    <t>Viljandi - Väluste - Mustla</t>
  </si>
  <si>
    <t>Aste - Haamse</t>
  </si>
  <si>
    <t>Võlupe - Linnaka</t>
  </si>
  <si>
    <t>Eistvere tee</t>
  </si>
  <si>
    <t>Viki - Kurevere</t>
  </si>
  <si>
    <t>Jõetaguse - Aruküla - Mäetaguse</t>
  </si>
  <si>
    <t>Martsa - Allküla</t>
  </si>
  <si>
    <t>Käravete - Raka</t>
  </si>
  <si>
    <t>Kuldre - Tagula</t>
  </si>
  <si>
    <t>Aravete - Orgmetsa</t>
  </si>
  <si>
    <t>Tammiku - Kalitsa</t>
  </si>
  <si>
    <t>Kabala - Väljaotsa</t>
  </si>
  <si>
    <t>Kuusna - Tudre - Visusti</t>
  </si>
  <si>
    <t>Kruusoja - Peressaare</t>
  </si>
  <si>
    <t>Meossaare tee</t>
  </si>
  <si>
    <t>Haabsaare - Saru</t>
  </si>
  <si>
    <t>2020 KAVANDATUD KOKKU:</t>
  </si>
  <si>
    <t>Eelarve 2020</t>
  </si>
  <si>
    <t>Kehtiv THK riigitulu kokku</t>
  </si>
  <si>
    <t>Vahe</t>
  </si>
  <si>
    <t>Planeeritud (strat invest) kokku</t>
  </si>
  <si>
    <r>
      <t>Muudetud THK riigitulu kokku</t>
    </r>
    <r>
      <rPr>
        <b/>
        <sz val="9"/>
        <color theme="1"/>
        <rFont val="Calibri"/>
        <family val="2"/>
        <charset val="186"/>
        <scheme val="minor"/>
      </rPr>
      <t xml:space="preserve"> (sh strat invest)</t>
    </r>
  </si>
  <si>
    <r>
      <t>Muudetud THK riigitulu kokku</t>
    </r>
    <r>
      <rPr>
        <b/>
        <sz val="9"/>
        <color theme="1"/>
        <rFont val="Calibri"/>
        <family val="2"/>
        <charset val="186"/>
        <scheme val="minor"/>
      </rPr>
      <t xml:space="preserve"> (v.a. strat invest)</t>
    </r>
  </si>
  <si>
    <t>Sisaldab projekteerimist ja maade ostu. Vastavalt 24.08 koosoleku otsusele lisatud indikatiivselt 1m eur</t>
  </si>
  <si>
    <t>Vajalik THK väliste investeeringute (sh IT, kiiruskaamerad, ilmajaamad, muuseum, hooned jne) + admin kulude (sh palgad, liiklusohutuse kampaaniad, sõidukite, ruumide, uuringute kulud jne) viimiseks reaalsele tasemele</t>
  </si>
  <si>
    <t>Strat investeeringuteks lisaks RES-is</t>
  </si>
  <si>
    <t>Strat invest rahastusest puudu</t>
  </si>
  <si>
    <t>Vastavalt 24.08 koosoleku otsusele lisatud 1m eur</t>
  </si>
  <si>
    <t>THK muudatused 2017</t>
  </si>
  <si>
    <t>Rohelisega lisatud summad nimekirjadest</t>
  </si>
  <si>
    <t>Rohelisega nimekirjadest lisatud summade ja kehtiva THK vahed</t>
  </si>
  <si>
    <t>üf raames palju sildu korda; 52 tonniga pole arvestatud</t>
  </si>
  <si>
    <t xml:space="preserve">Vastavalt 24.08 koosoleku otsusele. Profiiliparanduse mahtude vähendamine, IRI ei parane. </t>
  </si>
  <si>
    <t>Vastavalt 24.08 koosoleku otsusele. IRI paranemine peatab, remondivõlg suureneb</t>
  </si>
  <si>
    <t>sellest Kose-Mäo ehituseks VV otsusega</t>
  </si>
  <si>
    <t>Kehtiv THK Lisa 1 Teehoiukava 2014-2020 finantsplaan vs RES (va strat invest)</t>
  </si>
  <si>
    <t>Muudetud THK vs RES koos strat invest summaga</t>
  </si>
  <si>
    <t>Kontrollnumbrid, kuhu mahtuda punasega</t>
  </si>
  <si>
    <t>Kehtiv THK riigitulu kokku koos RES strat invest eraldis vs muudetud THK</t>
  </si>
  <si>
    <t>Tänase plaani puudjääk kokku, kui strat invest puuduvat osa ei eraldata ja RES 2021 summad ei korrigeerita ning 2022 sama taset ei hoita ning ehitus peab kinni meetme kululagedest 2021 ja 2022</t>
  </si>
  <si>
    <r>
      <t xml:space="preserve">Teehoiu rahastamine  </t>
    </r>
    <r>
      <rPr>
        <b/>
        <u/>
        <sz val="10"/>
        <rFont val="Times New Roman"/>
        <family val="1"/>
        <charset val="186"/>
      </rPr>
      <t>(ja Maanteeamet kokku)</t>
    </r>
  </si>
  <si>
    <t>mln EUR</t>
  </si>
  <si>
    <t xml:space="preserve">Jaotus/aastad </t>
  </si>
  <si>
    <r>
      <t xml:space="preserve">2016 
SEADUS </t>
    </r>
    <r>
      <rPr>
        <b/>
        <sz val="8"/>
        <rFont val="Times New Roman"/>
        <family val="1"/>
        <charset val="186"/>
      </rPr>
      <t>(peale muudatuseelarvet)</t>
    </r>
  </si>
  <si>
    <r>
      <t xml:space="preserve">2017 
SEADUS </t>
    </r>
    <r>
      <rPr>
        <b/>
        <sz val="8"/>
        <rFont val="Times New Roman"/>
        <family val="1"/>
        <charset val="186"/>
      </rPr>
      <t>(peale muudatuseelarvet)</t>
    </r>
  </si>
  <si>
    <t>2018
SEADUS</t>
  </si>
  <si>
    <r>
      <t xml:space="preserve">2019
</t>
    </r>
    <r>
      <rPr>
        <b/>
        <i/>
        <sz val="8"/>
        <rFont val="Times New Roman"/>
        <family val="1"/>
        <charset val="186"/>
      </rPr>
      <t>RES 2019-2022</t>
    </r>
  </si>
  <si>
    <t>muudatus</t>
  </si>
  <si>
    <r>
      <t xml:space="preserve">2019
</t>
    </r>
    <r>
      <rPr>
        <b/>
        <i/>
        <sz val="8"/>
        <rFont val="Times New Roman"/>
        <family val="1"/>
        <charset val="186"/>
      </rPr>
      <t>RES 2019-2022
26.04.18</t>
    </r>
  </si>
  <si>
    <r>
      <t xml:space="preserve">2020
</t>
    </r>
    <r>
      <rPr>
        <b/>
        <i/>
        <sz val="8"/>
        <rFont val="Times New Roman"/>
        <family val="1"/>
        <charset val="186"/>
      </rPr>
      <t>RES 2019-2022</t>
    </r>
  </si>
  <si>
    <r>
      <t xml:space="preserve">2020
</t>
    </r>
    <r>
      <rPr>
        <b/>
        <i/>
        <sz val="8"/>
        <rFont val="Times New Roman"/>
        <family val="1"/>
        <charset val="186"/>
      </rPr>
      <t>RES 2019-2022
26.04.18</t>
    </r>
  </si>
  <si>
    <r>
      <t xml:space="preserve">2021 
</t>
    </r>
    <r>
      <rPr>
        <b/>
        <i/>
        <sz val="8"/>
        <rFont val="Times New Roman"/>
        <family val="1"/>
        <charset val="186"/>
      </rPr>
      <t>RES 2019-2022</t>
    </r>
  </si>
  <si>
    <r>
      <t xml:space="preserve">2021
</t>
    </r>
    <r>
      <rPr>
        <b/>
        <i/>
        <sz val="8"/>
        <rFont val="Times New Roman"/>
        <family val="1"/>
        <charset val="186"/>
      </rPr>
      <t>RES 2019-2022
26.04.18</t>
    </r>
  </si>
  <si>
    <r>
      <t xml:space="preserve">2022
</t>
    </r>
    <r>
      <rPr>
        <b/>
        <i/>
        <sz val="8"/>
        <rFont val="Times New Roman"/>
        <family val="1"/>
        <charset val="186"/>
      </rPr>
      <t>RES 2019-2022</t>
    </r>
  </si>
  <si>
    <r>
      <t xml:space="preserve">2022
</t>
    </r>
    <r>
      <rPr>
        <b/>
        <i/>
        <sz val="8"/>
        <rFont val="Times New Roman"/>
        <family val="1"/>
        <charset val="186"/>
      </rPr>
      <t>RES 2019-2022
26.04.18</t>
    </r>
  </si>
  <si>
    <t>Siin võetud 2021=2022</t>
  </si>
  <si>
    <t>Riigieelarves teehoiuks suunatud</t>
  </si>
  <si>
    <t>(ilma MA omatulu ja ÜTS toetuseta )</t>
  </si>
  <si>
    <r>
      <rPr>
        <i/>
        <sz val="8"/>
        <rFont val="Times New Roman"/>
        <family val="1"/>
        <charset val="186"/>
      </rPr>
      <t xml:space="preserve">(üle kõikide asutuste ja allikate )           sh                        </t>
    </r>
    <r>
      <rPr>
        <sz val="10"/>
        <rFont val="Times New Roman"/>
        <family val="1"/>
      </rPr>
      <t xml:space="preserve">  </t>
    </r>
  </si>
  <si>
    <t>kohalikud teed (MKM eelarves )</t>
  </si>
  <si>
    <t>maksutuludest (2018-2019 transiitteede programm, juhtumipõhine)</t>
  </si>
  <si>
    <t>kohalikud teed (tasandusfond VV all)</t>
  </si>
  <si>
    <t>maksutuludest</t>
  </si>
  <si>
    <t>kohalikud teed (TJA eelarves )</t>
  </si>
  <si>
    <t xml:space="preserve">riigiteed (MA eelarves) </t>
  </si>
  <si>
    <t>maksutuludest, 2017  vähenes 3,0 mln ERile, lisandus EL raha 6410€</t>
  </si>
  <si>
    <t xml:space="preserve">riigiteed (TJA eelarves) </t>
  </si>
  <si>
    <t>ÜTS toetused (MA eelarves)</t>
  </si>
  <si>
    <t>maksutuludest alates 2018</t>
  </si>
  <si>
    <r>
      <t xml:space="preserve">MA teehoid eelarve maksutulust  </t>
    </r>
    <r>
      <rPr>
        <b/>
        <i/>
        <sz val="8"/>
        <rFont val="Times New Roman"/>
        <family val="1"/>
        <charset val="186"/>
      </rPr>
      <t>(v.a. ÜTS toetused)</t>
    </r>
  </si>
  <si>
    <t>sh</t>
  </si>
  <si>
    <t xml:space="preserve">riigitulu (riigiteed) </t>
  </si>
  <si>
    <t>taristuinvesteering 2019-2020</t>
  </si>
  <si>
    <t>omafin  (riigiteed)</t>
  </si>
  <si>
    <t xml:space="preserve">riigitulu (ÜTS toetused) </t>
  </si>
  <si>
    <t>alates 2018   ÜTS korraldamine suuresti  MA eelarves (sh ka MA tegevuskuludes)</t>
  </si>
  <si>
    <t xml:space="preserve">Lisanduv muu tulu (omatulu, siirded)  </t>
  </si>
  <si>
    <t xml:space="preserve">MA eelarve kokku (maksutulu+lisanduv)
</t>
  </si>
  <si>
    <t>=piirsummade tabel eelarves</t>
  </si>
  <si>
    <t>TJA teehoid eelarve välisabist</t>
  </si>
  <si>
    <t>välisabi 2014-2020 (KOV teed)</t>
  </si>
  <si>
    <t>täpsustuvad välisvahendeid</t>
  </si>
  <si>
    <t>välisabi 2014-2020 (riigiteed)</t>
  </si>
  <si>
    <t xml:space="preserve">MKM valitsemisala eelarves teehoiuks suunatud </t>
  </si>
  <si>
    <t>(vahe rida 5ga (riigieelarves teehoiuks suunatud)  tasandusfond, lisatud MA omatulu)</t>
  </si>
  <si>
    <t xml:space="preserve">2021-2035 riigiteede ehitusobjektid    </t>
  </si>
  <si>
    <t>L (km)</t>
  </si>
  <si>
    <t>liiklus-
sagedus
2017</t>
  </si>
  <si>
    <t xml:space="preserve">Liiklusohutuse parandamine 50 %, kiirus 120 km/h,  Kostivere eritasandiline ristmik kogujateedega, Maardu-Jõelähtme vasaku niidi laiendus           </t>
  </si>
  <si>
    <r>
      <t xml:space="preserve">Jägala-Loksa-Valgejõe                               </t>
    </r>
    <r>
      <rPr>
        <b/>
        <sz val="10"/>
        <color indexed="10"/>
        <rFont val="Calibri"/>
        <family val="2"/>
        <scheme val="minor"/>
      </rPr>
      <t xml:space="preserve"> </t>
    </r>
  </si>
  <si>
    <t>Loksa sõlm + piirkonna liiklusohutusmeetmed</t>
  </si>
  <si>
    <t>11719….7579</t>
  </si>
  <si>
    <t>Valgejõe - Aaspere</t>
  </si>
  <si>
    <t>Kiiruste tõstmine (120 km/h)</t>
  </si>
  <si>
    <t>7579...6350</t>
  </si>
  <si>
    <t>Põdruse eritasandiline ristmik</t>
  </si>
  <si>
    <t>Põdruse eritasandilise ristmiku ehitus</t>
  </si>
  <si>
    <t>4184…5172</t>
  </si>
  <si>
    <t>Põdruse - Sõmeru</t>
  </si>
  <si>
    <t>2+1 (110 km/h)</t>
  </si>
  <si>
    <t>5172…3878</t>
  </si>
  <si>
    <t>Sõmeru eritasandiline ristmik</t>
  </si>
  <si>
    <t>Sõmeru eritasandilise ristmiku ehitus</t>
  </si>
  <si>
    <t>3878….5699</t>
  </si>
  <si>
    <t>Sõmeru - Kukruse</t>
  </si>
  <si>
    <t>2+1 (110 km/h). 2035+ vaja 105 milj.</t>
  </si>
  <si>
    <t>5699…5907</t>
  </si>
  <si>
    <t>Jõhvi ümbersõit</t>
  </si>
  <si>
    <t xml:space="preserve">Jõhvi/Uikala eritasandiliste ristmike ehitus ja teelõigule 2+2 maantee ehitus. </t>
  </si>
  <si>
    <t>Jõhvi- Sillamäe</t>
  </si>
  <si>
    <t>8073…6912</t>
  </si>
  <si>
    <t>Sillamäe Narva lõik</t>
  </si>
  <si>
    <t>8078...5801…7871</t>
  </si>
  <si>
    <t>Mõigu Kose</t>
  </si>
  <si>
    <t>Kiiruste tõstmine (120 km/h). Liiklusohutusmeetmed. Peetri liiklussõlm</t>
  </si>
  <si>
    <t>24988….14398….8621</t>
  </si>
  <si>
    <t>Km 92…94 2+2 (120 km/h), 94…102 2+1 (110 km/h).</t>
  </si>
  <si>
    <t>9189….7621</t>
  </si>
  <si>
    <t>Käsukonna õgvendus</t>
  </si>
  <si>
    <t>7621….7295</t>
  </si>
  <si>
    <t xml:space="preserve">Adavere möödasõit    </t>
  </si>
  <si>
    <t>7295...8626</t>
  </si>
  <si>
    <t>8626….7326</t>
  </si>
  <si>
    <t>Puurmani - Laeva</t>
  </si>
  <si>
    <t>2+2 tee, liiklusohutuse parandamine 50%, kiirus 120 km/h, teemaplaneering olemas ja projekt valmib 2018, objekt asub NATURA 2000 alas, seetõttu vaja rajada 2 looma tunnelit</t>
  </si>
  <si>
    <t>Kardla-Tiksoja</t>
  </si>
  <si>
    <t>2+2 (120 km/h), sh 2 liiklussõlme</t>
  </si>
  <si>
    <t>2+2 (110 km/h)</t>
  </si>
  <si>
    <t>7520….5715</t>
  </si>
  <si>
    <r>
      <t>Raja tn - Variku viadukt</t>
    </r>
    <r>
      <rPr>
        <b/>
        <sz val="10"/>
        <color indexed="10"/>
        <rFont val="Calibri"/>
        <family val="2"/>
        <scheme val="minor"/>
      </rPr>
      <t xml:space="preserve"> </t>
    </r>
  </si>
  <si>
    <t>2+2 (100 km/h), sh 2 viadukti. Tartu ÜS 6 ehitusala</t>
  </si>
  <si>
    <t>12690….7917</t>
  </si>
  <si>
    <t>2+1 (100 km/h)</t>
  </si>
  <si>
    <t>7917...5201</t>
  </si>
  <si>
    <t>Tartu-Külitse-Nõo</t>
  </si>
  <si>
    <t xml:space="preserve">2+2 (100 km/h…110 km/h), sh 3 eritasandilist sõlme    </t>
  </si>
  <si>
    <t>10555...8630</t>
  </si>
  <si>
    <t xml:space="preserve">Ääsmäe-Kernu ja Kernu ümbersõidu rekonstrueerimine 2+2 teeks  </t>
  </si>
  <si>
    <t>2+2 (120 km/h)</t>
  </si>
  <si>
    <t>Topi- Ääsmäe</t>
  </si>
  <si>
    <t>Kiiruste tõstmine (120 km/h).</t>
  </si>
  <si>
    <t>30027…16593</t>
  </si>
  <si>
    <t>Kustja - Varbola</t>
  </si>
  <si>
    <t>2+1 (100...110 km/h)</t>
  </si>
  <si>
    <t>Varbola - Päädeva</t>
  </si>
  <si>
    <t>8209…8162</t>
  </si>
  <si>
    <t>Päädeva - Konuvere</t>
  </si>
  <si>
    <t>8162…7257</t>
  </si>
  <si>
    <t>Konuvere - Jädivere</t>
  </si>
  <si>
    <t>7257...8084</t>
  </si>
  <si>
    <t>Jädivere õgvendus</t>
  </si>
  <si>
    <t>Libatse  Are</t>
  </si>
  <si>
    <t>8084...8626</t>
  </si>
  <si>
    <t>Uulu-Ikla 2+1 tee</t>
  </si>
  <si>
    <t xml:space="preserve">2+1 tee ehitus, kiirus 100 km/h, liiklusohutuse parandamine 30%    </t>
  </si>
  <si>
    <t>5338...4154</t>
  </si>
  <si>
    <t>Pärnu suur ümbersõit</t>
  </si>
  <si>
    <t>III klassi tee</t>
  </si>
  <si>
    <t>Rakvere ringristmiku ehitus</t>
  </si>
  <si>
    <t>Pärnu jõe silla ja ühendustee ehitus</t>
  </si>
  <si>
    <t>3000-4000</t>
  </si>
  <si>
    <t>Pärnu - Sindi</t>
  </si>
  <si>
    <t>2+2 tee lõigus Papiniidu sild - Sindi. Perspektiiv 2030 on üle 9000 a/ööp.</t>
  </si>
  <si>
    <t xml:space="preserve">Tähetorni - Harku </t>
  </si>
  <si>
    <t>2+2 (100 km/h) Harku liiklussõlm</t>
  </si>
  <si>
    <t>16766….14712</t>
  </si>
  <si>
    <t>Harku - Keila</t>
  </si>
  <si>
    <t>2+2 (100 km/h)</t>
  </si>
  <si>
    <t>7193….7794</t>
  </si>
  <si>
    <t>Keila põhjapoolne ÜS</t>
  </si>
  <si>
    <t>Tuleb veel tegeleda. Orienteeruv algus kollasega.</t>
  </si>
  <si>
    <t>Keila - Paldiski</t>
  </si>
  <si>
    <t>6391...3050</t>
  </si>
  <si>
    <t>Ääsmäe - Laitse</t>
  </si>
  <si>
    <t>Laitse - Risti</t>
  </si>
  <si>
    <t>2+1 (100...110 km/h) 2035+ vaja 40 milj</t>
  </si>
  <si>
    <t>5577...4740</t>
  </si>
  <si>
    <t>Haapsalu ümbersõit</t>
  </si>
  <si>
    <t>Saaremaa sild</t>
  </si>
  <si>
    <t>Valingu - Keila</t>
  </si>
  <si>
    <t>Keila lõunapoolne ÜS</t>
  </si>
  <si>
    <t>NR 15 TALLINN-RAPLA-TÜRI</t>
  </si>
  <si>
    <t>Kangru - Luige</t>
  </si>
  <si>
    <t>2+2 (90 km/h)</t>
  </si>
  <si>
    <t>13289...8986</t>
  </si>
  <si>
    <t>Luige - Rapla</t>
  </si>
  <si>
    <t>2+1 (100…110 km/h) 2035+ vaja veel 20 milj EUR-i</t>
  </si>
  <si>
    <t>8070…7710…5400</t>
  </si>
  <si>
    <t>raha peal?</t>
  </si>
  <si>
    <t>Teemaplaneeringu kohane riigitee nr 5 ja riigitee nr 59 vaheline sild üle Pärnu jõe</t>
  </si>
  <si>
    <t>Lisa 5 Indikatsioon vajalikest ehitusobjektidest TEN-T teelõikudel aastatel 2024-2030</t>
  </si>
  <si>
    <t xml:space="preserve">Ehituse aeg ja maksumus milj EUR </t>
  </si>
  <si>
    <t xml:space="preserve">Loksa eritasandiline ristmik                                 </t>
  </si>
  <si>
    <t xml:space="preserve">Loksa eritasandiline ristmik   </t>
  </si>
  <si>
    <t xml:space="preserve">Põdruse eritasandiline ristmik </t>
  </si>
  <si>
    <t>Jõhvi - Toila ristmikud</t>
  </si>
  <si>
    <t xml:space="preserve">Jõhvi/Uikala ja Toila eritasandilised ristmikud ja 2+2 tee ehitus </t>
  </si>
  <si>
    <t>Toila ristmik - Sillamäe</t>
  </si>
  <si>
    <t>Toila ristmik - Sillamäe 2+1 tee ehituse algus</t>
  </si>
  <si>
    <t xml:space="preserve">Sillamäe - Narva </t>
  </si>
  <si>
    <t>6100…7800</t>
  </si>
  <si>
    <t>7800…9000</t>
  </si>
  <si>
    <t xml:space="preserve">Riia eritasandiline ristmik  </t>
  </si>
  <si>
    <t>Tartu ümbersõidu Riia eritasandiline ristmik</t>
  </si>
  <si>
    <t>13400….8000</t>
  </si>
  <si>
    <t>10700…9100</t>
  </si>
  <si>
    <t>Kernu - Varbola</t>
  </si>
  <si>
    <t>8400…7300</t>
  </si>
  <si>
    <t>7300...8300</t>
  </si>
  <si>
    <t>Libatse - Are</t>
  </si>
  <si>
    <t>8300...8900</t>
  </si>
  <si>
    <t>Are - Nurme</t>
  </si>
  <si>
    <t>3000...4000</t>
  </si>
  <si>
    <t xml:space="preserve">2+2 teelõigu ja Harku sõlme ehituse lõpetamine </t>
  </si>
  <si>
    <t xml:space="preserve">NR 8 TALLINN - PALDISKI </t>
  </si>
  <si>
    <t>11500…9700</t>
  </si>
  <si>
    <t xml:space="preserve">Uus sild üle Pärnu jõe koos  ühendusteedega </t>
  </si>
  <si>
    <t>Liiklussagedus 2018</t>
  </si>
  <si>
    <t>2+1 tee ehitus</t>
  </si>
  <si>
    <t>Km 92…94 2+2 tee ehiutus, km 94…102 2+1 tee ehitus</t>
  </si>
  <si>
    <t>2+2 tee, liiklusohutuse parandamine 50%,  objekt asub NATURA 2000 alas, seetõttu 2 loomatunnelit</t>
  </si>
  <si>
    <t>2+1 tee, sh 2 liiklussõlme</t>
  </si>
  <si>
    <t>2+2 tee, sh 2 viadukti. Tartu ümbersõidu 6. ehitusala</t>
  </si>
  <si>
    <t xml:space="preserve">2+2 tee, sh 3 eritasandilist ristmikku    </t>
  </si>
  <si>
    <t>2+2 tee ehitus</t>
  </si>
  <si>
    <t xml:space="preserve">Teede ehituse ja remondi keskkonnahoidlike riigihangete pilootide elluviimine </t>
  </si>
  <si>
    <t xml:space="preserve">Vähemalt 50% teede ehituse ja remondi riigihangetest keskkonnahoidlikud  </t>
  </si>
  <si>
    <t xml:space="preserve">Vähemalt 30% teede ehituse ja remondi riigihangetest keskkonnahoidlikud </t>
  </si>
  <si>
    <t>Freespuru taaskasutuse suurendamine asfaldi katendikihtides</t>
  </si>
  <si>
    <t>Vähemalt 70% materjalide massvedudest vähemalt Euro V veokitega</t>
  </si>
  <si>
    <t xml:space="preserve">Vähemalt 30% teede projekteerimise riigihangetest keskkonnahoidlikud   </t>
  </si>
  <si>
    <t xml:space="preserve">Vähemalt 50% teede projekteerimise riigihangetest keskkonnahoidlikud  </t>
  </si>
  <si>
    <t xml:space="preserve">Teede ehituse ja remondi innovatsiooni soodustavate hankemeetodite laiem kasutus (projekteerimine-ehitus ja allianshanked koos keskkonnahoiu kriteeriumidega)                                 </t>
  </si>
  <si>
    <t xml:space="preserve">Väiksema CO2 jalajäljega kohalike materjalide laiem kasutus </t>
  </si>
  <si>
    <t xml:space="preserve">Transpordiameti tegevused:   </t>
  </si>
  <si>
    <t xml:space="preserve">Eesti Taristuehituse Liidu tegevused: </t>
  </si>
  <si>
    <t xml:space="preserve">EPD koostamine kõikidele materjalidele </t>
  </si>
  <si>
    <t xml:space="preserve">Tegevuskava ajakohastatakse iga aasta vastavalt riigi teehoiu finantsvõimalustele      </t>
  </si>
  <si>
    <t>Olemasolevate karjääride laiendamine ja uute karjääride avamine ehitusobjektide kõrval ja/või lähipiirkonnas vähendades materjali massvedude CO2</t>
  </si>
  <si>
    <t xml:space="preserve">Vähemalt 50% teehoius kasutatavatest masinatest fossiilsetel kütustel. Muud teehoiu masinad alternatiivsete energiaallikate baasil </t>
  </si>
  <si>
    <t>Keskkonnadeklaratsioonide (EPD) koostamine põhilistele ehitusmaterjalidele: asfaltsegud, betoonid, tsemendid, bituumenid ja emulsioonid, terased, muldkeha materjalid, killustikud, kivitooted, plastid, kaevud, tekstiilid, hüdroisolatsioonid, taaskasutatavad materjalid</t>
  </si>
  <si>
    <t xml:space="preserve">Vähemalt 20% teede ehituse ja remondi riigihangetest keskkonnahoidlikud   </t>
  </si>
  <si>
    <t>Teede projekteerimise keskkonnahoidliku riigihanke pilootide elluviimine (vähemalt 1 iga aasta)</t>
  </si>
  <si>
    <t xml:space="preserve">Teede korrashoiu kõik riigihanked keskkonnahoidlikud   </t>
  </si>
  <si>
    <t>Kõik materjalide massveod vähemalt Euro V veokitega</t>
  </si>
  <si>
    <t xml:space="preserve">Transpordiameti ja Eesti Taristuehituse Liidu teehoiu CO2 heitkoguste vähendamise tegevuskava 2023-2030 lisa     </t>
  </si>
  <si>
    <t>Vähemalt 50% taastusremondi hangetest väärtuspõhised asfaldi CO2 boonus/sanktsioon mudeli alusel</t>
  </si>
  <si>
    <t xml:space="preserve">Taastusremondi hangetes asfaldi väärtuspõhise CO2 boonus/sanktsioon mudeli piloteerimine             </t>
  </si>
  <si>
    <t xml:space="preserve">Teede taastusremondi keskkonnahoidlike hangete pilootide elluviimine eesmärgiga saada Eestis kasutatavate asfaltsegude keskmised CO2 väärtused. Taastusremondi töövõtulepingutes asfaldi EPD koostamise kohustus. EPDsid hangetes veel ei hinnata. Sektor saab asfaldi EPD koostamise kogemuse, turu-uuringute käigus täpsustatakse hangete keskkonnahoidlikud/väärtuspõhised kriteeriumid           </t>
  </si>
  <si>
    <t xml:space="preserve">Vähemalt 20% taastusremondi hangetest väärtuspõhised asfaldi CO2 boonus/sanktsioon mudeli alusel  </t>
  </si>
  <si>
    <t xml:space="preserve">Asfaldi toote kategooria reeglite (PCR) koostamine koostöös ESTEL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</si>
</sst>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64" formatCode="_-* #,##0.00\ _€_-;\-* #,##0.00\ _€_-;_-* &quot;-&quot;??\ _€_-;_-@_-"/>
    <numFmt numFmtId="165" formatCode="_(* #,##0.00_);_(* \(#,##0.00\);_(* &quot;-&quot;??_);_(@_)"/>
    <numFmt numFmtId="166" formatCode="_-* #,##0\ _€_-;\-* #,##0\ _€_-;_-* &quot;-&quot;??\ _€_-;_-@_-"/>
    <numFmt numFmtId="167" formatCode="0.0"/>
    <numFmt numFmtId="168" formatCode="_-* #,##0.00\ _k_r_-;\-* #,##0.00\ _k_r_-;_-* &quot;-&quot;??\ _k_r_-;_-@_-"/>
    <numFmt numFmtId="169" formatCode="_-* #,##0.00\ &quot;kr&quot;_-;\-* #,##0.00\ &quot;kr&quot;_-;_-* &quot;-&quot;??\ &quot;kr&quot;_-;_-@_-"/>
    <numFmt numFmtId="170" formatCode="_-* #,##0\ _k_r_-;\-* #,##0\ _k_r_-;_-* &quot;- &quot;_k_r_-;_-@_-"/>
    <numFmt numFmtId="171" formatCode="0.000"/>
    <numFmt numFmtId="172" formatCode="#,##0.000"/>
    <numFmt numFmtId="173" formatCode="#,##0_ ;[Red]\-#,##0\ "/>
    <numFmt numFmtId="174" formatCode="0.00000"/>
    <numFmt numFmtId="175" formatCode="0.000000"/>
    <numFmt numFmtId="176" formatCode="#,##0.000000"/>
    <numFmt numFmtId="177" formatCode="&quot; &quot;#,##0.00&quot;   &quot;;&quot;-&quot;#,##0.00&quot;   &quot;;&quot; -&quot;00&quot;   &quot;;&quot; &quot;@&quot; &quot;"/>
  </numFmts>
  <fonts count="199" x14ac:knownFonts="1">
    <font>
      <sz val="11"/>
      <color theme="1"/>
      <name val="Calibri"/>
      <family val="2"/>
      <charset val="186"/>
      <scheme val="minor"/>
    </font>
    <font>
      <sz val="11"/>
      <color indexed="8"/>
      <name val="Calibri"/>
      <family val="2"/>
      <charset val="186"/>
    </font>
    <font>
      <sz val="11"/>
      <color indexed="8"/>
      <name val="Calibri"/>
      <family val="2"/>
      <charset val="186"/>
    </font>
    <font>
      <i/>
      <sz val="10"/>
      <name val="Calibri"/>
      <family val="2"/>
      <charset val="186"/>
    </font>
    <font>
      <sz val="10"/>
      <name val="Arial"/>
      <family val="2"/>
      <charset val="186"/>
    </font>
    <font>
      <sz val="10"/>
      <name val="Calibri"/>
      <family val="2"/>
      <charset val="186"/>
    </font>
    <font>
      <b/>
      <sz val="9"/>
      <name val="Calibri"/>
      <family val="2"/>
      <charset val="186"/>
    </font>
    <font>
      <b/>
      <sz val="10"/>
      <name val="Calibri"/>
      <family val="2"/>
      <charset val="186"/>
    </font>
    <font>
      <sz val="9"/>
      <name val="Calibri"/>
      <family val="2"/>
      <charset val="186"/>
    </font>
    <font>
      <b/>
      <sz val="8"/>
      <name val="Calibri"/>
      <family val="2"/>
      <charset val="186"/>
    </font>
    <font>
      <sz val="11"/>
      <color theme="1"/>
      <name val="Calibri"/>
      <family val="2"/>
      <charset val="186"/>
      <scheme val="minor"/>
    </font>
    <font>
      <sz val="11"/>
      <color theme="0"/>
      <name val="Calibri"/>
      <family val="2"/>
      <charset val="186"/>
      <scheme val="minor"/>
    </font>
    <font>
      <sz val="11"/>
      <color rgb="FF9C0006"/>
      <name val="Calibri"/>
      <family val="2"/>
      <charset val="186"/>
      <scheme val="minor"/>
    </font>
    <font>
      <b/>
      <sz val="11"/>
      <color rgb="FFFA7D00"/>
      <name val="Calibri"/>
      <family val="2"/>
      <charset val="186"/>
      <scheme val="minor"/>
    </font>
    <font>
      <b/>
      <sz val="11"/>
      <color theme="0"/>
      <name val="Calibri"/>
      <family val="2"/>
      <charset val="186"/>
      <scheme val="minor"/>
    </font>
    <font>
      <i/>
      <sz val="11"/>
      <color rgb="FF7F7F7F"/>
      <name val="Calibri"/>
      <family val="2"/>
      <charset val="186"/>
      <scheme val="minor"/>
    </font>
    <font>
      <sz val="11"/>
      <color rgb="FF006100"/>
      <name val="Calibri"/>
      <family val="2"/>
      <charset val="186"/>
      <scheme val="minor"/>
    </font>
    <font>
      <b/>
      <sz val="15"/>
      <color theme="3"/>
      <name val="Calibri"/>
      <family val="2"/>
      <charset val="186"/>
      <scheme val="minor"/>
    </font>
    <font>
      <b/>
      <sz val="13"/>
      <color theme="3"/>
      <name val="Calibri"/>
      <family val="2"/>
      <charset val="186"/>
      <scheme val="minor"/>
    </font>
    <font>
      <b/>
      <sz val="11"/>
      <color theme="3"/>
      <name val="Calibri"/>
      <family val="2"/>
      <charset val="186"/>
      <scheme val="minor"/>
    </font>
    <font>
      <u/>
      <sz val="11"/>
      <color theme="10"/>
      <name val="Calibri"/>
      <family val="2"/>
      <charset val="186"/>
    </font>
    <font>
      <sz val="11"/>
      <color rgb="FF3F3F76"/>
      <name val="Calibri"/>
      <family val="2"/>
      <charset val="186"/>
      <scheme val="minor"/>
    </font>
    <font>
      <sz val="11"/>
      <color rgb="FFFA7D00"/>
      <name val="Calibri"/>
      <family val="2"/>
      <charset val="186"/>
      <scheme val="minor"/>
    </font>
    <font>
      <sz val="11"/>
      <color rgb="FF9C6500"/>
      <name val="Calibri"/>
      <family val="2"/>
      <charset val="186"/>
      <scheme val="minor"/>
    </font>
    <font>
      <sz val="12"/>
      <color theme="1"/>
      <name val="Calibri"/>
      <family val="2"/>
      <charset val="186"/>
      <scheme val="minor"/>
    </font>
    <font>
      <sz val="10"/>
      <color theme="1"/>
      <name val="Arial"/>
      <family val="2"/>
      <charset val="186"/>
    </font>
    <font>
      <sz val="11"/>
      <color theme="1"/>
      <name val="Times New Roman"/>
      <family val="2"/>
      <charset val="186"/>
    </font>
    <font>
      <b/>
      <sz val="11"/>
      <color rgb="FF3F3F3F"/>
      <name val="Calibri"/>
      <family val="2"/>
      <charset val="186"/>
      <scheme val="minor"/>
    </font>
    <font>
      <b/>
      <sz val="18"/>
      <color theme="3"/>
      <name val="Cambria"/>
      <family val="2"/>
      <charset val="186"/>
      <scheme val="major"/>
    </font>
    <font>
      <b/>
      <sz val="11"/>
      <color theme="1"/>
      <name val="Calibri"/>
      <family val="2"/>
      <charset val="186"/>
      <scheme val="minor"/>
    </font>
    <font>
      <sz val="11"/>
      <color rgb="FFFF0000"/>
      <name val="Calibri"/>
      <family val="2"/>
      <charset val="186"/>
      <scheme val="minor"/>
    </font>
    <font>
      <sz val="11"/>
      <name val="Calibri"/>
      <family val="2"/>
      <charset val="186"/>
      <scheme val="minor"/>
    </font>
    <font>
      <i/>
      <sz val="10"/>
      <name val="Calibri"/>
      <family val="2"/>
      <charset val="186"/>
      <scheme val="minor"/>
    </font>
    <font>
      <i/>
      <sz val="10"/>
      <color theme="1"/>
      <name val="Calibri"/>
      <family val="2"/>
      <charset val="186"/>
      <scheme val="minor"/>
    </font>
    <font>
      <b/>
      <sz val="12"/>
      <color theme="1"/>
      <name val="Calibri"/>
      <family val="2"/>
      <charset val="186"/>
      <scheme val="minor"/>
    </font>
    <font>
      <b/>
      <sz val="12"/>
      <name val="Calibri"/>
      <family val="2"/>
      <charset val="186"/>
      <scheme val="minor"/>
    </font>
    <font>
      <sz val="8"/>
      <color theme="1"/>
      <name val="Calibri"/>
      <family val="2"/>
      <charset val="186"/>
      <scheme val="minor"/>
    </font>
    <font>
      <b/>
      <sz val="8"/>
      <color theme="0"/>
      <name val="Calibri"/>
      <family val="2"/>
      <charset val="186"/>
      <scheme val="minor"/>
    </font>
    <font>
      <b/>
      <sz val="8"/>
      <color theme="1"/>
      <name val="Calibri"/>
      <family val="2"/>
      <charset val="186"/>
      <scheme val="minor"/>
    </font>
    <font>
      <b/>
      <i/>
      <sz val="11"/>
      <name val="Calibri"/>
      <family val="2"/>
      <charset val="186"/>
      <scheme val="minor"/>
    </font>
    <font>
      <b/>
      <sz val="9"/>
      <color theme="0"/>
      <name val="Calibri"/>
      <family val="2"/>
      <charset val="186"/>
      <scheme val="minor"/>
    </font>
    <font>
      <b/>
      <i/>
      <sz val="9"/>
      <name val="Calibri"/>
      <family val="2"/>
      <charset val="186"/>
    </font>
    <font>
      <b/>
      <sz val="16"/>
      <name val="Calibri"/>
      <family val="2"/>
      <charset val="186"/>
      <scheme val="minor"/>
    </font>
    <font>
      <sz val="10"/>
      <name val="Calibri"/>
      <family val="2"/>
      <charset val="186"/>
      <scheme val="minor"/>
    </font>
    <font>
      <b/>
      <sz val="12"/>
      <name val="Calibri"/>
      <family val="2"/>
      <charset val="186"/>
    </font>
    <font>
      <b/>
      <sz val="10"/>
      <name val="Calibri"/>
      <family val="2"/>
      <charset val="186"/>
      <scheme val="minor"/>
    </font>
    <font>
      <sz val="10"/>
      <name val="Arial"/>
      <family val="2"/>
    </font>
    <font>
      <sz val="10"/>
      <color theme="1"/>
      <name val="Calibri"/>
      <family val="2"/>
      <charset val="186"/>
      <scheme val="minor"/>
    </font>
    <font>
      <b/>
      <sz val="10"/>
      <color theme="1"/>
      <name val="Calibri"/>
      <family val="2"/>
      <charset val="186"/>
      <scheme val="minor"/>
    </font>
    <font>
      <sz val="10"/>
      <color rgb="FFFF0000"/>
      <name val="Calibri"/>
      <family val="2"/>
      <charset val="186"/>
      <scheme val="minor"/>
    </font>
    <font>
      <sz val="10"/>
      <color indexed="10"/>
      <name val="Calibri"/>
      <family val="2"/>
      <charset val="186"/>
    </font>
    <font>
      <sz val="10"/>
      <color indexed="8"/>
      <name val="Calibri"/>
      <family val="2"/>
      <charset val="186"/>
    </font>
    <font>
      <sz val="10"/>
      <color rgb="FFFF0000"/>
      <name val="Calibri"/>
      <family val="2"/>
      <charset val="186"/>
    </font>
    <font>
      <b/>
      <sz val="10"/>
      <color indexed="8"/>
      <name val="Calibri"/>
      <family val="2"/>
      <charset val="186"/>
    </font>
    <font>
      <b/>
      <i/>
      <sz val="10"/>
      <name val="Calibri"/>
      <family val="2"/>
      <charset val="186"/>
    </font>
    <font>
      <i/>
      <sz val="10"/>
      <color rgb="FFFF0000"/>
      <name val="Calibri"/>
      <family val="2"/>
      <charset val="186"/>
    </font>
    <font>
      <b/>
      <sz val="10"/>
      <color indexed="10"/>
      <name val="Calibri"/>
      <family val="2"/>
      <charset val="186"/>
    </font>
    <font>
      <b/>
      <sz val="10"/>
      <color rgb="FFFF0000"/>
      <name val="Calibri"/>
      <family val="2"/>
      <charset val="186"/>
    </font>
    <font>
      <sz val="10"/>
      <color theme="4"/>
      <name val="Calibri"/>
      <family val="2"/>
      <charset val="186"/>
    </font>
    <font>
      <sz val="10"/>
      <color theme="0"/>
      <name val="Calibri"/>
      <family val="2"/>
      <charset val="186"/>
    </font>
    <font>
      <b/>
      <sz val="10"/>
      <color theme="0"/>
      <name val="Cambria"/>
      <family val="1"/>
      <charset val="186"/>
    </font>
    <font>
      <b/>
      <sz val="9"/>
      <color theme="0"/>
      <name val="Cambria"/>
      <family val="1"/>
      <charset val="186"/>
    </font>
    <font>
      <sz val="12"/>
      <name val="Calibri"/>
      <family val="2"/>
      <charset val="186"/>
    </font>
    <font>
      <b/>
      <sz val="11"/>
      <name val="Calibri"/>
      <family val="2"/>
      <charset val="186"/>
    </font>
    <font>
      <sz val="11"/>
      <name val="Calibri"/>
      <family val="2"/>
      <charset val="186"/>
    </font>
    <font>
      <sz val="8"/>
      <color theme="1"/>
      <name val="Cambria"/>
      <family val="1"/>
      <charset val="186"/>
    </font>
    <font>
      <sz val="11"/>
      <name val="Cambria"/>
      <family val="1"/>
      <charset val="186"/>
    </font>
    <font>
      <b/>
      <sz val="10"/>
      <name val="Calibri"/>
      <family val="2"/>
    </font>
    <font>
      <b/>
      <sz val="11"/>
      <color theme="0"/>
      <name val="Calibri"/>
      <family val="2"/>
      <charset val="186"/>
    </font>
    <font>
      <b/>
      <sz val="9"/>
      <color theme="0"/>
      <name val="Calibri"/>
      <family val="2"/>
      <charset val="186"/>
    </font>
    <font>
      <b/>
      <sz val="9"/>
      <name val="Calibri"/>
      <family val="2"/>
    </font>
    <font>
      <u/>
      <sz val="11"/>
      <color theme="1"/>
      <name val="Cambria"/>
      <family val="1"/>
      <charset val="186"/>
    </font>
    <font>
      <b/>
      <i/>
      <sz val="10"/>
      <color rgb="FFFF0000"/>
      <name val="Calibri"/>
      <family val="2"/>
      <charset val="186"/>
    </font>
    <font>
      <b/>
      <sz val="8"/>
      <name val="Arial"/>
      <family val="2"/>
      <charset val="186"/>
    </font>
    <font>
      <b/>
      <sz val="9"/>
      <color rgb="FFFF0000"/>
      <name val="Calibri"/>
      <family val="2"/>
      <charset val="186"/>
    </font>
    <font>
      <sz val="11"/>
      <name val="Arial"/>
      <family val="2"/>
      <charset val="186"/>
    </font>
    <font>
      <sz val="11"/>
      <color theme="1"/>
      <name val="Arial"/>
      <family val="2"/>
      <charset val="186"/>
    </font>
    <font>
      <sz val="8"/>
      <name val="Arial"/>
      <family val="2"/>
      <charset val="186"/>
    </font>
    <font>
      <sz val="8"/>
      <color theme="1"/>
      <name val="Arial"/>
      <family val="2"/>
      <charset val="186"/>
    </font>
    <font>
      <b/>
      <sz val="8"/>
      <color theme="1"/>
      <name val="Arial"/>
      <family val="2"/>
      <charset val="186"/>
    </font>
    <font>
      <sz val="9"/>
      <name val="Calibri"/>
      <family val="2"/>
      <charset val="186"/>
      <scheme val="minor"/>
    </font>
    <font>
      <i/>
      <sz val="9"/>
      <name val="Calibri"/>
      <family val="2"/>
      <charset val="186"/>
    </font>
    <font>
      <i/>
      <sz val="10"/>
      <color indexed="8"/>
      <name val="Calibri"/>
      <family val="2"/>
      <charset val="186"/>
    </font>
    <font>
      <sz val="11"/>
      <color rgb="FF1F497D"/>
      <name val="Calibri"/>
      <family val="2"/>
      <charset val="186"/>
      <scheme val="minor"/>
    </font>
    <font>
      <sz val="10"/>
      <color theme="0" tint="-0.249977111117893"/>
      <name val="Calibri"/>
      <family val="2"/>
      <charset val="186"/>
    </font>
    <font>
      <sz val="11"/>
      <color theme="1"/>
      <name val="Calibri"/>
      <family val="2"/>
      <scheme val="minor"/>
    </font>
    <font>
      <sz val="9"/>
      <color indexed="81"/>
      <name val="Tahoma"/>
      <family val="2"/>
      <charset val="186"/>
    </font>
    <font>
      <b/>
      <sz val="9"/>
      <color indexed="81"/>
      <name val="Tahoma"/>
      <family val="2"/>
      <charset val="186"/>
    </font>
    <font>
      <sz val="9"/>
      <color indexed="81"/>
      <name val="Segoe UI"/>
      <family val="2"/>
      <charset val="186"/>
    </font>
    <font>
      <b/>
      <sz val="9"/>
      <color indexed="81"/>
      <name val="Segoe UI"/>
      <family val="2"/>
      <charset val="186"/>
    </font>
    <font>
      <sz val="10"/>
      <name val="Arial"/>
      <family val="2"/>
      <charset val="186"/>
    </font>
    <font>
      <sz val="10"/>
      <name val="Arial"/>
      <family val="2"/>
      <charset val="204"/>
    </font>
    <font>
      <sz val="11"/>
      <color indexed="9"/>
      <name val="Calibri"/>
      <family val="2"/>
      <charset val="186"/>
    </font>
    <font>
      <b/>
      <sz val="11"/>
      <color indexed="52"/>
      <name val="Calibri"/>
      <family val="2"/>
      <charset val="186"/>
    </font>
    <font>
      <sz val="11"/>
      <color indexed="20"/>
      <name val="Calibri"/>
      <family val="2"/>
      <charset val="186"/>
    </font>
    <font>
      <b/>
      <sz val="11"/>
      <color indexed="9"/>
      <name val="Calibri"/>
      <family val="2"/>
      <charset val="186"/>
    </font>
    <font>
      <i/>
      <sz val="11"/>
      <color indexed="23"/>
      <name val="Calibri"/>
      <family val="2"/>
      <charset val="186"/>
    </font>
    <font>
      <sz val="11"/>
      <color indexed="17"/>
      <name val="Calibri"/>
      <family val="2"/>
      <charset val="186"/>
    </font>
    <font>
      <b/>
      <sz val="15"/>
      <color indexed="56"/>
      <name val="Calibri"/>
      <family val="2"/>
      <charset val="186"/>
    </font>
    <font>
      <b/>
      <sz val="13"/>
      <color indexed="56"/>
      <name val="Calibri"/>
      <family val="2"/>
      <charset val="186"/>
    </font>
    <font>
      <b/>
      <sz val="11"/>
      <color indexed="56"/>
      <name val="Calibri"/>
      <family val="2"/>
      <charset val="186"/>
    </font>
    <font>
      <sz val="11"/>
      <color indexed="10"/>
      <name val="Calibri"/>
      <family val="2"/>
      <charset val="186"/>
    </font>
    <font>
      <sz val="11"/>
      <color indexed="62"/>
      <name val="Calibri"/>
      <family val="2"/>
      <charset val="186"/>
    </font>
    <font>
      <b/>
      <sz val="11"/>
      <color indexed="8"/>
      <name val="Calibri"/>
      <family val="2"/>
      <charset val="186"/>
    </font>
    <font>
      <sz val="11"/>
      <color indexed="52"/>
      <name val="Calibri"/>
      <family val="2"/>
      <charset val="186"/>
    </font>
    <font>
      <sz val="11"/>
      <color indexed="60"/>
      <name val="Calibri"/>
      <family val="2"/>
      <charset val="186"/>
    </font>
    <font>
      <b/>
      <sz val="11"/>
      <color indexed="63"/>
      <name val="Calibri"/>
      <family val="2"/>
      <charset val="186"/>
    </font>
    <font>
      <b/>
      <sz val="18"/>
      <color indexed="56"/>
      <name val="Cambria"/>
      <family val="2"/>
      <charset val="186"/>
    </font>
    <font>
      <b/>
      <sz val="9"/>
      <color rgb="FFFF0000"/>
      <name val="Calibri"/>
      <family val="2"/>
      <charset val="186"/>
      <scheme val="minor"/>
    </font>
    <font>
      <sz val="9"/>
      <color theme="1"/>
      <name val="Calibri"/>
      <family val="2"/>
      <charset val="186"/>
      <scheme val="minor"/>
    </font>
    <font>
      <b/>
      <sz val="9"/>
      <color theme="1"/>
      <name val="Calibri"/>
      <family val="2"/>
      <charset val="186"/>
      <scheme val="minor"/>
    </font>
    <font>
      <i/>
      <sz val="9"/>
      <name val="Calibri"/>
      <family val="2"/>
      <charset val="186"/>
      <scheme val="minor"/>
    </font>
    <font>
      <i/>
      <sz val="9"/>
      <color theme="1"/>
      <name val="Calibri"/>
      <family val="2"/>
      <charset val="186"/>
      <scheme val="minor"/>
    </font>
    <font>
      <b/>
      <i/>
      <sz val="9"/>
      <name val="Calibri"/>
      <family val="2"/>
      <charset val="186"/>
      <scheme val="minor"/>
    </font>
    <font>
      <b/>
      <sz val="10"/>
      <color theme="0"/>
      <name val="Calibri"/>
      <family val="2"/>
      <charset val="186"/>
    </font>
    <font>
      <b/>
      <sz val="8"/>
      <color theme="0"/>
      <name val="Cambria"/>
      <family val="1"/>
      <charset val="186"/>
    </font>
    <font>
      <sz val="9"/>
      <color rgb="FFFF0000"/>
      <name val="Calibri"/>
      <family val="2"/>
      <charset val="186"/>
      <scheme val="minor"/>
    </font>
    <font>
      <u/>
      <sz val="9"/>
      <color theme="1"/>
      <name val="Calibri"/>
      <family val="2"/>
      <charset val="186"/>
      <scheme val="minor"/>
    </font>
    <font>
      <u/>
      <sz val="9"/>
      <name val="Calibri"/>
      <family val="2"/>
      <charset val="186"/>
      <scheme val="minor"/>
    </font>
    <font>
      <b/>
      <u/>
      <sz val="9"/>
      <color theme="1"/>
      <name val="Calibri"/>
      <family val="2"/>
      <charset val="186"/>
      <scheme val="minor"/>
    </font>
    <font>
      <b/>
      <sz val="11"/>
      <name val="Calibri"/>
      <family val="2"/>
      <charset val="186"/>
      <scheme val="minor"/>
    </font>
    <font>
      <sz val="12"/>
      <color theme="1"/>
      <name val="Times New Roman"/>
      <family val="2"/>
      <charset val="186"/>
    </font>
    <font>
      <i/>
      <sz val="10"/>
      <name val="Times New Roman"/>
      <family val="1"/>
      <charset val="186"/>
    </font>
    <font>
      <sz val="16"/>
      <name val="Times New Roman"/>
      <family val="1"/>
      <charset val="186"/>
    </font>
    <font>
      <b/>
      <sz val="16"/>
      <name val="Times New Roman"/>
      <family val="1"/>
      <charset val="186"/>
    </font>
    <font>
      <sz val="11"/>
      <name val="Times New Roman"/>
      <family val="1"/>
      <charset val="186"/>
    </font>
    <font>
      <sz val="10"/>
      <color rgb="FFFF0000"/>
      <name val="Times New Roman"/>
      <family val="1"/>
      <charset val="186"/>
    </font>
    <font>
      <sz val="10"/>
      <name val="Times New Roman"/>
      <family val="1"/>
      <charset val="186"/>
    </font>
    <font>
      <b/>
      <sz val="11"/>
      <name val="Times New Roman"/>
      <family val="1"/>
      <charset val="186"/>
    </font>
    <font>
      <sz val="12"/>
      <name val="Calibri"/>
      <family val="2"/>
      <charset val="186"/>
      <scheme val="minor"/>
    </font>
    <font>
      <b/>
      <sz val="12"/>
      <name val="Times New Roman"/>
      <family val="1"/>
      <charset val="186"/>
    </font>
    <font>
      <sz val="11"/>
      <color theme="9" tint="-0.499984740745262"/>
      <name val="Times New Roman"/>
      <family val="1"/>
      <charset val="186"/>
    </font>
    <font>
      <sz val="11"/>
      <color rgb="FF0070C0"/>
      <name val="Times New Roman"/>
      <family val="1"/>
      <charset val="186"/>
    </font>
    <font>
      <sz val="11"/>
      <color rgb="FFFF0000"/>
      <name val="Times New Roman"/>
      <family val="1"/>
      <charset val="186"/>
    </font>
    <font>
      <b/>
      <sz val="11"/>
      <color rgb="FFFF0000"/>
      <name val="Times New Roman"/>
      <family val="1"/>
      <charset val="186"/>
    </font>
    <font>
      <sz val="12"/>
      <name val="Times New Roman"/>
      <family val="1"/>
      <charset val="186"/>
    </font>
    <font>
      <b/>
      <sz val="11"/>
      <color theme="6"/>
      <name val="Calibri"/>
      <family val="2"/>
      <charset val="186"/>
      <scheme val="minor"/>
    </font>
    <font>
      <b/>
      <sz val="10"/>
      <color rgb="FFFF0000"/>
      <name val="Arial"/>
      <family val="2"/>
    </font>
    <font>
      <b/>
      <sz val="11"/>
      <color rgb="FFFF0000"/>
      <name val="Calibri"/>
      <family val="2"/>
      <charset val="186"/>
      <scheme val="minor"/>
    </font>
    <font>
      <sz val="11"/>
      <color rgb="FFFF0000"/>
      <name val="Arial"/>
      <family val="2"/>
      <charset val="186"/>
    </font>
    <font>
      <sz val="11"/>
      <color rgb="FF00B0F0"/>
      <name val="Calibri"/>
      <family val="2"/>
      <charset val="186"/>
      <scheme val="minor"/>
    </font>
    <font>
      <sz val="11"/>
      <color theme="9" tint="-0.249977111117893"/>
      <name val="Calibri"/>
      <family val="2"/>
      <charset val="186"/>
      <scheme val="minor"/>
    </font>
    <font>
      <b/>
      <sz val="14"/>
      <color rgb="FF000000"/>
      <name val="Calibri"/>
      <family val="2"/>
      <charset val="186"/>
    </font>
    <font>
      <b/>
      <sz val="11"/>
      <color theme="1"/>
      <name val="Calibri"/>
      <family val="2"/>
      <charset val="186"/>
    </font>
    <font>
      <b/>
      <sz val="11"/>
      <color rgb="FF000000"/>
      <name val="Calibri"/>
      <family val="2"/>
      <charset val="186"/>
    </font>
    <font>
      <sz val="11"/>
      <color theme="1"/>
      <name val="Calibri"/>
      <family val="2"/>
      <charset val="186"/>
    </font>
    <font>
      <sz val="11"/>
      <color rgb="FF000000"/>
      <name val="Calibri"/>
      <family val="2"/>
      <charset val="186"/>
    </font>
    <font>
      <i/>
      <u/>
      <sz val="9"/>
      <color theme="1"/>
      <name val="Calibri"/>
      <family val="2"/>
      <charset val="186"/>
      <scheme val="minor"/>
    </font>
    <font>
      <b/>
      <sz val="9"/>
      <name val="Calibri"/>
      <family val="2"/>
      <charset val="186"/>
      <scheme val="minor"/>
    </font>
    <font>
      <b/>
      <i/>
      <sz val="9"/>
      <color theme="1"/>
      <name val="Calibri"/>
      <family val="2"/>
      <charset val="186"/>
      <scheme val="minor"/>
    </font>
    <font>
      <b/>
      <u/>
      <sz val="9"/>
      <name val="Calibri"/>
      <family val="2"/>
      <charset val="186"/>
      <scheme val="minor"/>
    </font>
    <font>
      <b/>
      <u/>
      <sz val="12"/>
      <name val="Times New Roman"/>
      <family val="1"/>
      <charset val="186"/>
    </font>
    <font>
      <b/>
      <u/>
      <sz val="10"/>
      <name val="Times New Roman"/>
      <family val="1"/>
      <charset val="186"/>
    </font>
    <font>
      <i/>
      <sz val="8"/>
      <name val="Times New Roman"/>
      <family val="1"/>
    </font>
    <font>
      <sz val="10"/>
      <name val="Times New Roman"/>
      <family val="1"/>
    </font>
    <font>
      <b/>
      <u/>
      <sz val="10"/>
      <color indexed="8"/>
      <name val="Times New Roman"/>
      <family val="1"/>
    </font>
    <font>
      <i/>
      <sz val="8"/>
      <name val="Times New Roman"/>
      <family val="1"/>
      <charset val="186"/>
    </font>
    <font>
      <b/>
      <sz val="10"/>
      <color indexed="8"/>
      <name val="Times New Roman"/>
      <family val="1"/>
    </font>
    <font>
      <b/>
      <sz val="10"/>
      <name val="Times New Roman"/>
      <family val="1"/>
      <charset val="186"/>
    </font>
    <font>
      <b/>
      <sz val="8"/>
      <name val="Times New Roman"/>
      <family val="1"/>
      <charset val="186"/>
    </font>
    <font>
      <b/>
      <i/>
      <sz val="10"/>
      <name val="Times New Roman"/>
      <family val="1"/>
      <charset val="186"/>
    </font>
    <font>
      <b/>
      <i/>
      <sz val="8"/>
      <name val="Times New Roman"/>
      <family val="1"/>
      <charset val="186"/>
    </font>
    <font>
      <sz val="8"/>
      <name val="Times New Roman"/>
      <family val="1"/>
      <charset val="186"/>
    </font>
    <font>
      <b/>
      <sz val="9"/>
      <name val="Times New Roman"/>
      <family val="1"/>
      <charset val="186"/>
    </font>
    <font>
      <b/>
      <i/>
      <sz val="9"/>
      <name val="Times New Roman"/>
      <family val="1"/>
      <charset val="186"/>
    </font>
    <font>
      <sz val="9"/>
      <name val="Times New Roman"/>
      <family val="1"/>
      <charset val="186"/>
    </font>
    <font>
      <sz val="9"/>
      <color indexed="8"/>
      <name val="Times New Roman"/>
      <family val="1"/>
      <charset val="186"/>
    </font>
    <font>
      <i/>
      <sz val="9"/>
      <name val="Times New Roman"/>
      <family val="1"/>
      <charset val="186"/>
    </font>
    <font>
      <sz val="10"/>
      <color indexed="8"/>
      <name val="Times New Roman"/>
      <family val="1"/>
    </font>
    <font>
      <sz val="10"/>
      <color indexed="8"/>
      <name val="Times New Roman"/>
      <family val="1"/>
      <charset val="186"/>
    </font>
    <font>
      <sz val="8"/>
      <color theme="1"/>
      <name val="Times New Roman"/>
      <family val="1"/>
      <charset val="186"/>
    </font>
    <font>
      <b/>
      <i/>
      <sz val="8"/>
      <color indexed="8"/>
      <name val="Times New Roman"/>
      <family val="1"/>
      <charset val="186"/>
    </font>
    <font>
      <b/>
      <i/>
      <sz val="8"/>
      <color rgb="FFFF0000"/>
      <name val="Times New Roman"/>
      <family val="1"/>
      <charset val="186"/>
    </font>
    <font>
      <b/>
      <sz val="8"/>
      <color indexed="8"/>
      <name val="Times New Roman"/>
      <family val="1"/>
      <charset val="186"/>
    </font>
    <font>
      <b/>
      <i/>
      <sz val="9"/>
      <color rgb="FFFF0000"/>
      <name val="Times New Roman"/>
      <family val="1"/>
      <charset val="186"/>
    </font>
    <font>
      <sz val="8"/>
      <color rgb="FFFF0000"/>
      <name val="Times New Roman"/>
      <family val="1"/>
      <charset val="186"/>
    </font>
    <font>
      <i/>
      <sz val="8"/>
      <name val="Arial"/>
      <family val="2"/>
      <charset val="186"/>
    </font>
    <font>
      <sz val="10"/>
      <color indexed="8"/>
      <name val="Calibri"/>
      <family val="2"/>
      <scheme val="minor"/>
    </font>
    <font>
      <b/>
      <sz val="10"/>
      <color theme="1"/>
      <name val="Calibri"/>
      <family val="2"/>
      <scheme val="minor"/>
    </font>
    <font>
      <sz val="10"/>
      <color theme="1"/>
      <name val="Calibri"/>
      <family val="2"/>
      <scheme val="minor"/>
    </font>
    <font>
      <b/>
      <sz val="10"/>
      <name val="Calibri"/>
      <family val="2"/>
      <scheme val="minor"/>
    </font>
    <font>
      <b/>
      <i/>
      <sz val="10"/>
      <name val="Calibri"/>
      <family val="2"/>
      <scheme val="minor"/>
    </font>
    <font>
      <sz val="10"/>
      <name val="Calibri"/>
      <family val="2"/>
      <scheme val="minor"/>
    </font>
    <font>
      <i/>
      <sz val="10"/>
      <color rgb="FFFF0000"/>
      <name val="Calibri"/>
      <family val="2"/>
      <scheme val="minor"/>
    </font>
    <font>
      <b/>
      <i/>
      <sz val="10"/>
      <color rgb="FFFF0000"/>
      <name val="Calibri"/>
      <family val="2"/>
      <scheme val="minor"/>
    </font>
    <font>
      <b/>
      <sz val="10"/>
      <color indexed="10"/>
      <name val="Calibri"/>
      <family val="2"/>
      <scheme val="minor"/>
    </font>
    <font>
      <b/>
      <sz val="10"/>
      <color rgb="FFFF0000"/>
      <name val="Calibri"/>
      <family val="2"/>
      <scheme val="minor"/>
    </font>
    <font>
      <sz val="10"/>
      <color indexed="10"/>
      <name val="Calibri"/>
      <family val="2"/>
      <scheme val="minor"/>
    </font>
    <font>
      <sz val="10"/>
      <color theme="4"/>
      <name val="Calibri"/>
      <family val="2"/>
      <scheme val="minor"/>
    </font>
    <font>
      <sz val="10"/>
      <color theme="3"/>
      <name val="Calibri"/>
      <family val="2"/>
      <scheme val="minor"/>
    </font>
    <font>
      <sz val="10"/>
      <color rgb="FFFF0000"/>
      <name val="Calibri"/>
      <family val="2"/>
      <scheme val="minor"/>
    </font>
    <font>
      <sz val="10"/>
      <color indexed="8"/>
      <name val="Calibri"/>
      <family val="2"/>
      <charset val="186"/>
      <scheme val="minor"/>
    </font>
    <font>
      <b/>
      <sz val="10"/>
      <color theme="3"/>
      <name val="Calibri"/>
      <family val="2"/>
      <scheme val="minor"/>
    </font>
    <font>
      <sz val="10"/>
      <color theme="0" tint="-0.249977111117893"/>
      <name val="Calibri"/>
      <family val="2"/>
      <scheme val="minor"/>
    </font>
    <font>
      <b/>
      <sz val="10"/>
      <color indexed="8"/>
      <name val="Calibri"/>
      <family val="2"/>
      <scheme val="minor"/>
    </font>
    <font>
      <sz val="11"/>
      <color rgb="FF000000"/>
      <name val="Times New Roman"/>
      <family val="1"/>
      <charset val="186"/>
    </font>
    <font>
      <b/>
      <sz val="16"/>
      <color theme="1"/>
      <name val="Calibri"/>
      <family val="2"/>
      <charset val="186"/>
      <scheme val="minor"/>
    </font>
    <font>
      <sz val="10"/>
      <color rgb="FF92D050"/>
      <name val="Calibri"/>
      <family val="2"/>
      <charset val="186"/>
    </font>
    <font>
      <b/>
      <sz val="12"/>
      <color indexed="8"/>
      <name val="Calibri"/>
      <family val="2"/>
      <charset val="186"/>
    </font>
  </fonts>
  <fills count="106">
    <fill>
      <patternFill patternType="none"/>
    </fill>
    <fill>
      <patternFill patternType="gray125"/>
    </fill>
    <fill>
      <patternFill patternType="solid">
        <fgColor indexed="26"/>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4.9989318521683403E-2"/>
        <bgColor indexed="64"/>
      </patternFill>
    </fill>
    <fill>
      <patternFill patternType="solid">
        <fgColor theme="0"/>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indexed="31"/>
        <bgColor indexed="64"/>
      </patternFill>
    </fill>
    <fill>
      <patternFill patternType="solid">
        <fgColor rgb="FFFFFF00"/>
        <bgColor indexed="64"/>
      </patternFill>
    </fill>
    <fill>
      <patternFill patternType="solid">
        <fgColor rgb="FFFFFF99"/>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rgb="FFFF0000"/>
        <bgColor indexed="64"/>
      </patternFill>
    </fill>
    <fill>
      <patternFill patternType="solid">
        <fgColor theme="2" tint="-0.249977111117893"/>
        <bgColor indexed="64"/>
      </patternFill>
    </fill>
    <fill>
      <patternFill patternType="solid">
        <fgColor indexed="31"/>
        <bgColor indexed="22"/>
      </patternFill>
    </fill>
    <fill>
      <patternFill patternType="solid">
        <fgColor indexed="31"/>
      </patternFill>
    </fill>
    <fill>
      <patternFill patternType="solid">
        <fgColor indexed="45"/>
        <bgColor indexed="29"/>
      </patternFill>
    </fill>
    <fill>
      <patternFill patternType="solid">
        <fgColor indexed="45"/>
      </patternFill>
    </fill>
    <fill>
      <patternFill patternType="solid">
        <fgColor indexed="42"/>
        <bgColor indexed="27"/>
      </patternFill>
    </fill>
    <fill>
      <patternFill patternType="solid">
        <fgColor indexed="42"/>
      </patternFill>
    </fill>
    <fill>
      <patternFill patternType="solid">
        <fgColor indexed="46"/>
        <bgColor indexed="24"/>
      </patternFill>
    </fill>
    <fill>
      <patternFill patternType="solid">
        <fgColor indexed="46"/>
      </patternFill>
    </fill>
    <fill>
      <patternFill patternType="solid">
        <fgColor indexed="27"/>
        <bgColor indexed="41"/>
      </patternFill>
    </fill>
    <fill>
      <patternFill patternType="solid">
        <fgColor indexed="27"/>
      </patternFill>
    </fill>
    <fill>
      <patternFill patternType="solid">
        <fgColor indexed="47"/>
        <bgColor indexed="22"/>
      </patternFill>
    </fill>
    <fill>
      <patternFill patternType="solid">
        <fgColor indexed="47"/>
      </patternFill>
    </fill>
    <fill>
      <patternFill patternType="solid">
        <fgColor indexed="44"/>
        <bgColor indexed="31"/>
      </patternFill>
    </fill>
    <fill>
      <patternFill patternType="solid">
        <fgColor indexed="44"/>
      </patternFill>
    </fill>
    <fill>
      <patternFill patternType="solid">
        <fgColor indexed="29"/>
        <bgColor indexed="45"/>
      </patternFill>
    </fill>
    <fill>
      <patternFill patternType="solid">
        <fgColor indexed="29"/>
      </patternFill>
    </fill>
    <fill>
      <patternFill patternType="solid">
        <fgColor indexed="11"/>
        <bgColor indexed="49"/>
      </patternFill>
    </fill>
    <fill>
      <patternFill patternType="solid">
        <fgColor indexed="11"/>
      </patternFill>
    </fill>
    <fill>
      <patternFill patternType="solid">
        <fgColor indexed="51"/>
        <bgColor indexed="13"/>
      </patternFill>
    </fill>
    <fill>
      <patternFill patternType="solid">
        <fgColor indexed="51"/>
      </patternFill>
    </fill>
    <fill>
      <patternFill patternType="solid">
        <fgColor indexed="30"/>
        <bgColor indexed="21"/>
      </patternFill>
    </fill>
    <fill>
      <patternFill patternType="solid">
        <fgColor indexed="30"/>
      </patternFill>
    </fill>
    <fill>
      <patternFill patternType="solid">
        <fgColor indexed="20"/>
        <bgColor indexed="36"/>
      </patternFill>
    </fill>
    <fill>
      <patternFill patternType="solid">
        <fgColor indexed="36"/>
      </patternFill>
    </fill>
    <fill>
      <patternFill patternType="solid">
        <fgColor indexed="49"/>
        <bgColor indexed="40"/>
      </patternFill>
    </fill>
    <fill>
      <patternFill patternType="solid">
        <fgColor indexed="49"/>
      </patternFill>
    </fill>
    <fill>
      <patternFill patternType="solid">
        <fgColor indexed="52"/>
        <bgColor indexed="51"/>
      </patternFill>
    </fill>
    <fill>
      <patternFill patternType="solid">
        <fgColor indexed="52"/>
      </patternFill>
    </fill>
    <fill>
      <patternFill patternType="solid">
        <fgColor indexed="62"/>
        <bgColor indexed="56"/>
      </patternFill>
    </fill>
    <fill>
      <patternFill patternType="solid">
        <fgColor indexed="62"/>
      </patternFill>
    </fill>
    <fill>
      <patternFill patternType="solid">
        <fgColor indexed="10"/>
        <bgColor indexed="60"/>
      </patternFill>
    </fill>
    <fill>
      <patternFill patternType="solid">
        <fgColor indexed="10"/>
      </patternFill>
    </fill>
    <fill>
      <patternFill patternType="solid">
        <fgColor indexed="57"/>
        <bgColor indexed="21"/>
      </patternFill>
    </fill>
    <fill>
      <patternFill patternType="solid">
        <fgColor indexed="57"/>
      </patternFill>
    </fill>
    <fill>
      <patternFill patternType="solid">
        <fgColor indexed="53"/>
        <bgColor indexed="52"/>
      </patternFill>
    </fill>
    <fill>
      <patternFill patternType="solid">
        <fgColor indexed="53"/>
      </patternFill>
    </fill>
    <fill>
      <patternFill patternType="solid">
        <fgColor indexed="22"/>
      </patternFill>
    </fill>
    <fill>
      <patternFill patternType="solid">
        <fgColor indexed="22"/>
        <bgColor indexed="31"/>
      </patternFill>
    </fill>
    <fill>
      <patternFill patternType="solid">
        <fgColor indexed="55"/>
        <bgColor indexed="23"/>
      </patternFill>
    </fill>
    <fill>
      <patternFill patternType="solid">
        <fgColor indexed="55"/>
      </patternFill>
    </fill>
    <fill>
      <patternFill patternType="solid">
        <fgColor indexed="26"/>
      </patternFill>
    </fill>
    <fill>
      <patternFill patternType="solid">
        <fgColor indexed="43"/>
      </patternFill>
    </fill>
    <fill>
      <patternFill patternType="solid">
        <fgColor indexed="43"/>
        <bgColor indexed="26"/>
      </patternFill>
    </fill>
    <fill>
      <patternFill patternType="solid">
        <fgColor indexed="26"/>
        <bgColor indexed="9"/>
      </patternFill>
    </fill>
    <fill>
      <patternFill patternType="solid">
        <fgColor theme="6" tint="0.59999389629810485"/>
        <bgColor indexed="64"/>
      </patternFill>
    </fill>
    <fill>
      <patternFill patternType="solid">
        <fgColor rgb="FF92D050"/>
        <bgColor indexed="64"/>
      </patternFill>
    </fill>
    <fill>
      <patternFill patternType="solid">
        <fgColor theme="7" tint="0.79998168889431442"/>
        <bgColor indexed="64"/>
      </patternFill>
    </fill>
    <fill>
      <patternFill patternType="solid">
        <fgColor rgb="FF00B050"/>
        <bgColor indexed="64"/>
      </patternFill>
    </fill>
    <fill>
      <patternFill patternType="solid">
        <fgColor theme="0" tint="-0.249977111117893"/>
        <bgColor indexed="64"/>
      </patternFill>
    </fill>
    <fill>
      <patternFill patternType="solid">
        <fgColor rgb="FFFFC000"/>
        <bgColor indexed="64"/>
      </patternFill>
    </fill>
    <fill>
      <patternFill patternType="solid">
        <fgColor rgb="FFFDF377"/>
        <bgColor indexed="64"/>
      </patternFill>
    </fill>
    <fill>
      <patternFill patternType="solid">
        <fgColor rgb="FF00B0F0"/>
        <bgColor indexed="64"/>
      </patternFill>
    </fill>
    <fill>
      <patternFill patternType="solid">
        <fgColor rgb="FFF4FDF1"/>
        <bgColor indexed="64"/>
      </patternFill>
    </fill>
    <fill>
      <patternFill patternType="solid">
        <fgColor rgb="FFFFFF00"/>
        <bgColor rgb="FF000000"/>
      </patternFill>
    </fill>
    <fill>
      <patternFill patternType="solid">
        <fgColor theme="9" tint="0.59999389629810485"/>
        <bgColor indexed="64"/>
      </patternFill>
    </fill>
    <fill>
      <patternFill patternType="solid">
        <fgColor indexed="42"/>
        <bgColor indexed="64"/>
      </patternFill>
    </fill>
    <fill>
      <patternFill patternType="solid">
        <fgColor indexed="45"/>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theme="4" tint="0.59999389629810485"/>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style="double">
        <color indexed="64"/>
      </top>
      <bottom style="medium">
        <color indexed="64"/>
      </bottom>
      <diagonal/>
    </border>
    <border>
      <left style="thin">
        <color indexed="64"/>
      </left>
      <right/>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right/>
      <top style="double">
        <color indexed="64"/>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style="double">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top/>
      <bottom style="medium">
        <color rgb="FFC00000"/>
      </bottom>
      <diagonal/>
    </border>
    <border>
      <left/>
      <right/>
      <top/>
      <bottom style="medium">
        <color rgb="FFC00000"/>
      </bottom>
      <diagonal/>
    </border>
    <border>
      <left/>
      <right style="thin">
        <color indexed="64"/>
      </right>
      <top/>
      <bottom style="medium">
        <color rgb="FFC00000"/>
      </bottom>
      <diagonal/>
    </border>
    <border>
      <left/>
      <right style="thin">
        <color indexed="64"/>
      </right>
      <top style="thin">
        <color indexed="64"/>
      </top>
      <bottom/>
      <diagonal/>
    </border>
  </borders>
  <cellStyleXfs count="3924">
    <xf numFmtId="0" fontId="0" fillId="0" borderId="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2" fillId="27" borderId="0" applyNumberFormat="0" applyBorder="0" applyAlignment="0" applyProtection="0"/>
    <xf numFmtId="0" fontId="13" fillId="28" borderId="36" applyNumberFormat="0" applyAlignment="0" applyProtection="0"/>
    <xf numFmtId="0" fontId="14" fillId="29" borderId="37" applyNumberFormat="0" applyAlignment="0" applyProtection="0"/>
    <xf numFmtId="164" fontId="10" fillId="0" borderId="0" applyFont="0" applyFill="0" applyBorder="0" applyAlignment="0" applyProtection="0"/>
    <xf numFmtId="0" fontId="15" fillId="0" borderId="0" applyNumberFormat="0" applyFill="0" applyBorder="0" applyAlignment="0" applyProtection="0"/>
    <xf numFmtId="0" fontId="16" fillId="30" borderId="0" applyNumberFormat="0" applyBorder="0" applyAlignment="0" applyProtection="0"/>
    <xf numFmtId="0" fontId="17" fillId="0" borderId="38" applyNumberFormat="0" applyFill="0" applyAlignment="0" applyProtection="0"/>
    <xf numFmtId="0" fontId="18" fillId="0" borderId="39" applyNumberFormat="0" applyFill="0" applyAlignment="0" applyProtection="0"/>
    <xf numFmtId="0" fontId="19" fillId="0" borderId="40" applyNumberFormat="0" applyFill="0" applyAlignment="0" applyProtection="0"/>
    <xf numFmtId="0" fontId="19" fillId="0" borderId="0" applyNumberFormat="0" applyFill="0" applyBorder="0" applyAlignment="0" applyProtection="0"/>
    <xf numFmtId="0" fontId="20"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1" fillId="31" borderId="36" applyNumberFormat="0" applyAlignment="0" applyProtection="0"/>
    <xf numFmtId="165" fontId="2" fillId="0" borderId="0" applyFont="0" applyFill="0" applyBorder="0" applyAlignment="0" applyProtection="0"/>
    <xf numFmtId="165" fontId="1" fillId="0" borderId="0" applyFont="0" applyFill="0" applyBorder="0" applyAlignment="0" applyProtection="0"/>
    <xf numFmtId="0" fontId="22" fillId="0" borderId="41" applyNumberFormat="0" applyFill="0" applyAlignment="0" applyProtection="0"/>
    <xf numFmtId="0" fontId="23" fillId="32" borderId="0" applyNumberFormat="0" applyBorder="0" applyAlignment="0" applyProtection="0"/>
    <xf numFmtId="0" fontId="4" fillId="0" borderId="0"/>
    <xf numFmtId="0" fontId="4" fillId="0" borderId="0"/>
    <xf numFmtId="0" fontId="10" fillId="0" borderId="0"/>
    <xf numFmtId="0" fontId="10" fillId="0" borderId="0"/>
    <xf numFmtId="0" fontId="10" fillId="0" borderId="0"/>
    <xf numFmtId="0" fontId="10" fillId="0" borderId="0"/>
    <xf numFmtId="0" fontId="24" fillId="0" borderId="0"/>
    <xf numFmtId="0" fontId="25" fillId="0" borderId="0"/>
    <xf numFmtId="0" fontId="4" fillId="0" borderId="0"/>
    <xf numFmtId="0" fontId="4" fillId="0" borderId="0"/>
    <xf numFmtId="0" fontId="4" fillId="0" borderId="0"/>
    <xf numFmtId="0" fontId="4" fillId="0" borderId="0"/>
    <xf numFmtId="0" fontId="4" fillId="0" borderId="0"/>
    <xf numFmtId="0" fontId="26" fillId="0" borderId="0"/>
    <xf numFmtId="0" fontId="10" fillId="0" borderId="0"/>
    <xf numFmtId="0" fontId="4" fillId="0" borderId="0"/>
    <xf numFmtId="0" fontId="4" fillId="0" borderId="0"/>
    <xf numFmtId="0" fontId="26" fillId="0" borderId="0"/>
    <xf numFmtId="0" fontId="4" fillId="0" borderId="0"/>
    <xf numFmtId="0" fontId="4" fillId="0" borderId="0"/>
    <xf numFmtId="0" fontId="4" fillId="0" borderId="0"/>
    <xf numFmtId="0" fontId="10" fillId="33" borderId="42" applyNumberFormat="0" applyFont="0" applyAlignment="0" applyProtection="0"/>
    <xf numFmtId="0" fontId="27" fillId="28" borderId="43" applyNumberFormat="0" applyAlignment="0" applyProtection="0"/>
    <xf numFmtId="9" fontId="10"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4" fillId="0" borderId="0" applyFont="0" applyFill="0" applyBorder="0" applyAlignment="0" applyProtection="0"/>
    <xf numFmtId="0" fontId="28" fillId="0" borderId="0" applyNumberFormat="0" applyFill="0" applyBorder="0" applyAlignment="0" applyProtection="0"/>
    <xf numFmtId="0" fontId="29" fillId="0" borderId="44" applyNumberFormat="0" applyFill="0" applyAlignment="0" applyProtection="0"/>
    <xf numFmtId="0" fontId="30" fillId="0" borderId="0" applyNumberFormat="0" applyFill="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164" fontId="10" fillId="0" borderId="0" applyFont="0" applyFill="0" applyBorder="0" applyAlignment="0" applyProtection="0"/>
    <xf numFmtId="0" fontId="26" fillId="33" borderId="42" applyNumberFormat="0" applyFont="0" applyAlignment="0" applyProtection="0"/>
    <xf numFmtId="0" fontId="26" fillId="33" borderId="42" applyNumberFormat="0" applyFont="0" applyAlignment="0" applyProtection="0"/>
    <xf numFmtId="0" fontId="26" fillId="33" borderId="42" applyNumberFormat="0" applyFont="0" applyAlignment="0" applyProtection="0"/>
    <xf numFmtId="0" fontId="4" fillId="0" borderId="0"/>
    <xf numFmtId="0" fontId="4" fillId="0" borderId="0"/>
    <xf numFmtId="0" fontId="10" fillId="0" borderId="0"/>
    <xf numFmtId="0" fontId="25" fillId="0" borderId="0"/>
    <xf numFmtId="0" fontId="4" fillId="0" borderId="0"/>
    <xf numFmtId="0" fontId="1" fillId="0" borderId="0"/>
    <xf numFmtId="0" fontId="4" fillId="0" borderId="0"/>
    <xf numFmtId="0" fontId="4"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 fillId="0" borderId="0"/>
    <xf numFmtId="0" fontId="10" fillId="0" borderId="0"/>
    <xf numFmtId="0" fontId="10" fillId="0" borderId="0"/>
    <xf numFmtId="0" fontId="10" fillId="0" borderId="0"/>
    <xf numFmtId="0" fontId="25" fillId="0" borderId="0"/>
    <xf numFmtId="0" fontId="25" fillId="0" borderId="0"/>
    <xf numFmtId="0" fontId="25" fillId="0" borderId="0"/>
    <xf numFmtId="0" fontId="46" fillId="0" borderId="0"/>
    <xf numFmtId="0" fontId="46" fillId="0" borderId="0"/>
    <xf numFmtId="0" fontId="4" fillId="0" borderId="0"/>
    <xf numFmtId="0" fontId="4" fillId="0" borderId="0"/>
    <xf numFmtId="0" fontId="10" fillId="0" borderId="0"/>
    <xf numFmtId="0" fontId="4" fillId="0" borderId="0"/>
    <xf numFmtId="0" fontId="4" fillId="39" borderId="45" applyNumberFormat="0" applyProtection="0">
      <alignment horizontal="left" vertical="center" indent="1"/>
    </xf>
    <xf numFmtId="0" fontId="4" fillId="39" borderId="45" applyNumberFormat="0" applyProtection="0">
      <alignment horizontal="left" vertical="center" indent="1"/>
    </xf>
    <xf numFmtId="0" fontId="4" fillId="39" borderId="45" applyNumberFormat="0" applyProtection="0">
      <alignment horizontal="left" vertical="center" indent="1"/>
    </xf>
    <xf numFmtId="164" fontId="24" fillId="0" borderId="0" applyFont="0" applyFill="0" applyBorder="0" applyAlignment="0" applyProtection="0"/>
    <xf numFmtId="0" fontId="4" fillId="0" borderId="0"/>
    <xf numFmtId="0" fontId="4" fillId="0" borderId="0"/>
    <xf numFmtId="0" fontId="4" fillId="0" borderId="0"/>
    <xf numFmtId="0" fontId="4" fillId="0" borderId="0"/>
    <xf numFmtId="0" fontId="10" fillId="0" borderId="0"/>
    <xf numFmtId="164"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85" fillId="0" borderId="0"/>
    <xf numFmtId="9" fontId="85" fillId="0" borderId="0" applyFont="0" applyFill="0" applyBorder="0" applyAlignment="0" applyProtection="0"/>
    <xf numFmtId="9" fontId="10" fillId="0" borderId="0" applyFont="0" applyFill="0" applyBorder="0" applyAlignment="0" applyProtection="0"/>
    <xf numFmtId="0" fontId="90" fillId="0" borderId="0"/>
    <xf numFmtId="0" fontId="91" fillId="0" borderId="0"/>
    <xf numFmtId="0" fontId="46" fillId="0" borderId="0"/>
    <xf numFmtId="0" fontId="4" fillId="0" borderId="0"/>
    <xf numFmtId="0" fontId="1" fillId="46" borderId="0" applyNumberFormat="0" applyBorder="0" applyProtection="0">
      <alignment wrapText="1"/>
    </xf>
    <xf numFmtId="0" fontId="1" fillId="46" borderId="0" applyNumberFormat="0" applyBorder="0" applyProtection="0">
      <alignment wrapText="1"/>
    </xf>
    <xf numFmtId="0" fontId="1" fillId="46" borderId="0" applyNumberFormat="0" applyBorder="0" applyProtection="0">
      <alignment wrapText="1"/>
    </xf>
    <xf numFmtId="0" fontId="1" fillId="46" borderId="0" applyNumberFormat="0" applyBorder="0" applyProtection="0">
      <alignment wrapText="1"/>
    </xf>
    <xf numFmtId="0" fontId="1" fillId="46" borderId="0" applyNumberFormat="0" applyBorder="0" applyProtection="0">
      <alignment wrapText="1"/>
    </xf>
    <xf numFmtId="0" fontId="1" fillId="46" borderId="0" applyNumberFormat="0" applyBorder="0" applyProtection="0">
      <alignment wrapText="1"/>
    </xf>
    <xf numFmtId="0" fontId="1" fillId="46" borderId="0" applyNumberFormat="0" applyBorder="0" applyProtection="0">
      <alignment wrapText="1"/>
    </xf>
    <xf numFmtId="0" fontId="1" fillId="46" borderId="0" applyNumberFormat="0" applyBorder="0" applyProtection="0">
      <alignment wrapText="1"/>
    </xf>
    <xf numFmtId="0" fontId="1" fillId="46" borderId="0" applyNumberFormat="0" applyBorder="0" applyProtection="0">
      <alignment wrapText="1"/>
    </xf>
    <xf numFmtId="0" fontId="1" fillId="46" borderId="0" applyNumberFormat="0" applyBorder="0" applyProtection="0">
      <alignment wrapText="1"/>
    </xf>
    <xf numFmtId="0" fontId="1" fillId="46" borderId="0" applyNumberFormat="0" applyBorder="0" applyProtection="0">
      <alignment wrapText="1"/>
    </xf>
    <xf numFmtId="0" fontId="1" fillId="46" borderId="0" applyNumberFormat="0" applyBorder="0" applyProtection="0">
      <alignment wrapText="1"/>
    </xf>
    <xf numFmtId="0" fontId="1" fillId="46" borderId="0" applyNumberFormat="0" applyBorder="0" applyProtection="0">
      <alignment wrapText="1"/>
    </xf>
    <xf numFmtId="0" fontId="1" fillId="46" borderId="0" applyNumberFormat="0" applyBorder="0" applyProtection="0">
      <alignment wrapText="1"/>
    </xf>
    <xf numFmtId="0" fontId="1" fillId="46" borderId="0" applyNumberFormat="0" applyBorder="0" applyProtection="0">
      <alignment wrapText="1"/>
    </xf>
    <xf numFmtId="0" fontId="1" fillId="46" borderId="0" applyNumberFormat="0" applyBorder="0" applyProtection="0">
      <alignment wrapText="1"/>
    </xf>
    <xf numFmtId="0" fontId="1" fillId="46" borderId="0" applyNumberFormat="0" applyBorder="0" applyProtection="0">
      <alignment wrapText="1"/>
    </xf>
    <xf numFmtId="0" fontId="1" fillId="46" borderId="0" applyNumberFormat="0" applyBorder="0" applyProtection="0">
      <alignment wrapText="1"/>
    </xf>
    <xf numFmtId="0" fontId="1" fillId="46" borderId="0" applyNumberFormat="0" applyBorder="0" applyProtection="0">
      <alignment wrapText="1"/>
    </xf>
    <xf numFmtId="0" fontId="1" fillId="46" borderId="0" applyNumberFormat="0" applyBorder="0" applyProtection="0">
      <alignment wrapText="1"/>
    </xf>
    <xf numFmtId="0" fontId="1" fillId="46" borderId="0" applyNumberFormat="0" applyBorder="0" applyProtection="0">
      <alignment wrapText="1"/>
    </xf>
    <xf numFmtId="0" fontId="1" fillId="46" borderId="0" applyNumberFormat="0" applyBorder="0" applyProtection="0">
      <alignment wrapText="1"/>
    </xf>
    <xf numFmtId="0" fontId="1" fillId="46" borderId="0" applyNumberFormat="0" applyBorder="0" applyProtection="0">
      <alignment wrapText="1"/>
    </xf>
    <xf numFmtId="0" fontId="1" fillId="46" borderId="0" applyNumberFormat="0" applyBorder="0" applyProtection="0">
      <alignment wrapText="1"/>
    </xf>
    <xf numFmtId="0" fontId="1" fillId="46" borderId="0" applyNumberFormat="0" applyBorder="0" applyProtection="0">
      <alignment wrapText="1"/>
    </xf>
    <xf numFmtId="0" fontId="1" fillId="46" borderId="0" applyNumberFormat="0" applyBorder="0" applyProtection="0">
      <alignment wrapText="1"/>
    </xf>
    <xf numFmtId="0" fontId="1" fillId="46" borderId="0" applyNumberFormat="0" applyBorder="0" applyProtection="0">
      <alignment wrapText="1"/>
    </xf>
    <xf numFmtId="0" fontId="1" fillId="46" borderId="0" applyNumberFormat="0" applyBorder="0" applyProtection="0">
      <alignment wrapText="1"/>
    </xf>
    <xf numFmtId="0" fontId="1" fillId="46" borderId="0" applyNumberFormat="0" applyBorder="0" applyProtection="0">
      <alignment wrapText="1"/>
    </xf>
    <xf numFmtId="0" fontId="1" fillId="46" borderId="0" applyNumberFormat="0" applyBorder="0" applyProtection="0">
      <alignment wrapText="1"/>
    </xf>
    <xf numFmtId="0" fontId="1" fillId="46" borderId="0" applyNumberFormat="0" applyBorder="0" applyProtection="0">
      <alignment wrapText="1"/>
    </xf>
    <xf numFmtId="0" fontId="1" fillId="46" borderId="0" applyNumberFormat="0" applyBorder="0" applyProtection="0">
      <alignment wrapText="1"/>
    </xf>
    <xf numFmtId="0" fontId="1" fillId="46" borderId="0" applyNumberFormat="0" applyBorder="0" applyProtection="0">
      <alignment wrapText="1"/>
    </xf>
    <xf numFmtId="0" fontId="1" fillId="46" borderId="0" applyNumberFormat="0" applyBorder="0" applyProtection="0">
      <alignment wrapText="1"/>
    </xf>
    <xf numFmtId="0" fontId="1" fillId="46" borderId="0" applyNumberFormat="0" applyBorder="0" applyProtection="0">
      <alignment wrapText="1"/>
    </xf>
    <xf numFmtId="0" fontId="1" fillId="46" borderId="0" applyNumberFormat="0" applyBorder="0" applyProtection="0">
      <alignment wrapText="1"/>
    </xf>
    <xf numFmtId="0" fontId="1" fillId="46" borderId="0" applyNumberFormat="0" applyBorder="0" applyProtection="0">
      <alignment wrapText="1"/>
    </xf>
    <xf numFmtId="0" fontId="1" fillId="46" borderId="0" applyNumberFormat="0" applyBorder="0" applyProtection="0">
      <alignment wrapText="1"/>
    </xf>
    <xf numFmtId="0" fontId="1" fillId="46" borderId="0" applyNumberFormat="0" applyBorder="0" applyProtection="0">
      <alignment wrapText="1"/>
    </xf>
    <xf numFmtId="0" fontId="1" fillId="46" borderId="0" applyNumberFormat="0" applyBorder="0" applyProtection="0">
      <alignment wrapText="1"/>
    </xf>
    <xf numFmtId="0" fontId="1" fillId="46" borderId="0" applyNumberFormat="0" applyBorder="0" applyProtection="0">
      <alignment wrapText="1"/>
    </xf>
    <xf numFmtId="0" fontId="1" fillId="46" borderId="0" applyNumberFormat="0" applyBorder="0" applyProtection="0">
      <alignment wrapText="1"/>
    </xf>
    <xf numFmtId="0" fontId="1" fillId="46" borderId="0" applyNumberFormat="0" applyBorder="0" applyProtection="0">
      <alignment wrapText="1"/>
    </xf>
    <xf numFmtId="0" fontId="1" fillId="46" borderId="0" applyNumberFormat="0" applyBorder="0" applyProtection="0">
      <alignment wrapText="1"/>
    </xf>
    <xf numFmtId="0" fontId="1" fillId="46" borderId="0" applyNumberFormat="0" applyBorder="0" applyProtection="0">
      <alignment wrapText="1"/>
    </xf>
    <xf numFmtId="0" fontId="1" fillId="47" borderId="0" applyNumberFormat="0" applyBorder="0" applyAlignment="0" applyProtection="0"/>
    <xf numFmtId="0" fontId="1" fillId="47" borderId="0" applyNumberFormat="0" applyBorder="0" applyAlignment="0" applyProtection="0"/>
    <xf numFmtId="0" fontId="1" fillId="46" borderId="0" applyNumberFormat="0" applyBorder="0" applyProtection="0">
      <alignment wrapText="1"/>
    </xf>
    <xf numFmtId="0" fontId="1" fillId="46" borderId="0" applyNumberFormat="0" applyBorder="0" applyProtection="0">
      <alignment wrapText="1"/>
    </xf>
    <xf numFmtId="0" fontId="1" fillId="46" borderId="0" applyNumberFormat="0" applyBorder="0" applyProtection="0">
      <alignment wrapText="1"/>
    </xf>
    <xf numFmtId="0" fontId="1" fillId="46" borderId="0" applyNumberFormat="0" applyBorder="0" applyProtection="0">
      <alignment wrapText="1"/>
    </xf>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6" borderId="0" applyNumberFormat="0" applyBorder="0" applyProtection="0">
      <alignment wrapText="1"/>
    </xf>
    <xf numFmtId="0" fontId="1" fillId="46" borderId="0" applyNumberFormat="0" applyBorder="0" applyProtection="0">
      <alignment wrapText="1"/>
    </xf>
    <xf numFmtId="0" fontId="1" fillId="46" borderId="0" applyNumberFormat="0" applyBorder="0" applyProtection="0">
      <alignment wrapText="1"/>
    </xf>
    <xf numFmtId="0" fontId="1" fillId="46" borderId="0" applyNumberFormat="0" applyBorder="0" applyProtection="0">
      <alignment wrapText="1"/>
    </xf>
    <xf numFmtId="0" fontId="1" fillId="46" borderId="0" applyNumberFormat="0" applyBorder="0" applyProtection="0">
      <alignment wrapText="1"/>
    </xf>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6" borderId="0" applyNumberFormat="0" applyBorder="0" applyProtection="0">
      <alignment wrapText="1"/>
    </xf>
    <xf numFmtId="0" fontId="1" fillId="46" borderId="0" applyNumberFormat="0" applyBorder="0" applyProtection="0">
      <alignment wrapText="1"/>
    </xf>
    <xf numFmtId="0" fontId="1" fillId="46" borderId="0" applyNumberFormat="0" applyBorder="0" applyProtection="0">
      <alignment wrapText="1"/>
    </xf>
    <xf numFmtId="0" fontId="1" fillId="46" borderId="0" applyNumberFormat="0" applyBorder="0" applyProtection="0">
      <alignment wrapText="1"/>
    </xf>
    <xf numFmtId="0" fontId="1" fillId="46" borderId="0" applyNumberFormat="0" applyBorder="0" applyProtection="0">
      <alignment wrapText="1"/>
    </xf>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6" borderId="0" applyNumberFormat="0" applyBorder="0" applyProtection="0">
      <alignment wrapText="1"/>
    </xf>
    <xf numFmtId="0" fontId="1" fillId="46" borderId="0" applyNumberFormat="0" applyBorder="0" applyProtection="0">
      <alignment wrapText="1"/>
    </xf>
    <xf numFmtId="0" fontId="1" fillId="46" borderId="0" applyNumberFormat="0" applyBorder="0" applyProtection="0">
      <alignment wrapText="1"/>
    </xf>
    <xf numFmtId="0" fontId="1" fillId="46" borderId="0" applyNumberFormat="0" applyBorder="0" applyProtection="0">
      <alignment wrapText="1"/>
    </xf>
    <xf numFmtId="0" fontId="1" fillId="46" borderId="0" applyNumberFormat="0" applyBorder="0" applyProtection="0">
      <alignment wrapText="1"/>
    </xf>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6" borderId="0" applyNumberFormat="0" applyBorder="0" applyProtection="0">
      <alignment wrapText="1"/>
    </xf>
    <xf numFmtId="0" fontId="1" fillId="46" borderId="0" applyNumberFormat="0" applyBorder="0" applyProtection="0">
      <alignment wrapText="1"/>
    </xf>
    <xf numFmtId="0" fontId="1" fillId="46" borderId="0" applyNumberFormat="0" applyBorder="0" applyProtection="0">
      <alignment wrapText="1"/>
    </xf>
    <xf numFmtId="0" fontId="1" fillId="46" borderId="0" applyNumberFormat="0" applyBorder="0" applyProtection="0">
      <alignment wrapText="1"/>
    </xf>
    <xf numFmtId="0" fontId="1" fillId="46" borderId="0" applyNumberFormat="0" applyBorder="0" applyProtection="0">
      <alignment wrapText="1"/>
    </xf>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6" borderId="0" applyNumberFormat="0" applyBorder="0" applyProtection="0">
      <alignment wrapText="1"/>
    </xf>
    <xf numFmtId="0" fontId="1" fillId="46" borderId="0" applyNumberFormat="0" applyBorder="0" applyProtection="0">
      <alignment wrapText="1"/>
    </xf>
    <xf numFmtId="0" fontId="1" fillId="46" borderId="0" applyNumberFormat="0" applyBorder="0" applyProtection="0">
      <alignment wrapText="1"/>
    </xf>
    <xf numFmtId="0" fontId="1" fillId="46" borderId="0" applyNumberFormat="0" applyBorder="0" applyProtection="0">
      <alignment wrapText="1"/>
    </xf>
    <xf numFmtId="0" fontId="1" fillId="46" borderId="0" applyNumberFormat="0" applyBorder="0" applyProtection="0">
      <alignment wrapText="1"/>
    </xf>
    <xf numFmtId="0" fontId="1" fillId="47" borderId="0" applyNumberFormat="0" applyBorder="0" applyAlignment="0" applyProtection="0"/>
    <xf numFmtId="0" fontId="1" fillId="47" borderId="0" applyNumberFormat="0" applyBorder="0" applyAlignment="0" applyProtection="0"/>
    <xf numFmtId="0" fontId="1" fillId="46" borderId="0" applyNumberFormat="0" applyBorder="0" applyProtection="0">
      <alignment wrapText="1"/>
    </xf>
    <xf numFmtId="0" fontId="1" fillId="46" borderId="0" applyNumberFormat="0" applyBorder="0" applyProtection="0">
      <alignment wrapText="1"/>
    </xf>
    <xf numFmtId="0" fontId="1" fillId="46" borderId="0" applyNumberFormat="0" applyBorder="0" applyProtection="0">
      <alignment wrapText="1"/>
    </xf>
    <xf numFmtId="0" fontId="1" fillId="46" borderId="0" applyNumberFormat="0" applyBorder="0" applyProtection="0">
      <alignment wrapText="1"/>
    </xf>
    <xf numFmtId="0" fontId="1" fillId="46" borderId="0" applyNumberFormat="0" applyBorder="0" applyProtection="0">
      <alignment wrapText="1"/>
    </xf>
    <xf numFmtId="0" fontId="1" fillId="46" borderId="0" applyNumberFormat="0" applyBorder="0" applyProtection="0">
      <alignment wrapText="1"/>
    </xf>
    <xf numFmtId="0" fontId="1" fillId="46" borderId="0" applyNumberFormat="0" applyBorder="0" applyProtection="0">
      <alignment wrapText="1"/>
    </xf>
    <xf numFmtId="0" fontId="1" fillId="46" borderId="0" applyNumberFormat="0" applyBorder="0" applyProtection="0">
      <alignment wrapText="1"/>
    </xf>
    <xf numFmtId="0" fontId="1" fillId="46" borderId="0" applyNumberFormat="0" applyBorder="0" applyProtection="0">
      <alignment wrapText="1"/>
    </xf>
    <xf numFmtId="0" fontId="1" fillId="46" borderId="0" applyNumberFormat="0" applyBorder="0" applyProtection="0">
      <alignment wrapText="1"/>
    </xf>
    <xf numFmtId="0" fontId="1" fillId="48" borderId="0" applyNumberFormat="0" applyBorder="0" applyProtection="0">
      <alignment wrapText="1"/>
    </xf>
    <xf numFmtId="0" fontId="1" fillId="48" borderId="0" applyNumberFormat="0" applyBorder="0" applyProtection="0">
      <alignment wrapText="1"/>
    </xf>
    <xf numFmtId="0" fontId="1" fillId="48" borderId="0" applyNumberFormat="0" applyBorder="0" applyProtection="0">
      <alignment wrapText="1"/>
    </xf>
    <xf numFmtId="0" fontId="1" fillId="48" borderId="0" applyNumberFormat="0" applyBorder="0" applyProtection="0">
      <alignment wrapText="1"/>
    </xf>
    <xf numFmtId="0" fontId="1" fillId="48" borderId="0" applyNumberFormat="0" applyBorder="0" applyProtection="0">
      <alignment wrapText="1"/>
    </xf>
    <xf numFmtId="0" fontId="1" fillId="48" borderId="0" applyNumberFormat="0" applyBorder="0" applyProtection="0">
      <alignment wrapText="1"/>
    </xf>
    <xf numFmtId="0" fontId="1" fillId="48" borderId="0" applyNumberFormat="0" applyBorder="0" applyProtection="0">
      <alignment wrapText="1"/>
    </xf>
    <xf numFmtId="0" fontId="1" fillId="48" borderId="0" applyNumberFormat="0" applyBorder="0" applyProtection="0">
      <alignment wrapText="1"/>
    </xf>
    <xf numFmtId="0" fontId="1" fillId="48" borderId="0" applyNumberFormat="0" applyBorder="0" applyProtection="0">
      <alignment wrapText="1"/>
    </xf>
    <xf numFmtId="0" fontId="1" fillId="48" borderId="0" applyNumberFormat="0" applyBorder="0" applyProtection="0">
      <alignment wrapText="1"/>
    </xf>
    <xf numFmtId="0" fontId="1" fillId="48" borderId="0" applyNumberFormat="0" applyBorder="0" applyProtection="0">
      <alignment wrapText="1"/>
    </xf>
    <xf numFmtId="0" fontId="1" fillId="48" borderId="0" applyNumberFormat="0" applyBorder="0" applyProtection="0">
      <alignment wrapText="1"/>
    </xf>
    <xf numFmtId="0" fontId="1" fillId="48" borderId="0" applyNumberFormat="0" applyBorder="0" applyProtection="0">
      <alignment wrapText="1"/>
    </xf>
    <xf numFmtId="0" fontId="1" fillId="48" borderId="0" applyNumberFormat="0" applyBorder="0" applyProtection="0">
      <alignment wrapText="1"/>
    </xf>
    <xf numFmtId="0" fontId="1" fillId="48" borderId="0" applyNumberFormat="0" applyBorder="0" applyProtection="0">
      <alignment wrapText="1"/>
    </xf>
    <xf numFmtId="0" fontId="1" fillId="48" borderId="0" applyNumberFormat="0" applyBorder="0" applyProtection="0">
      <alignment wrapText="1"/>
    </xf>
    <xf numFmtId="0" fontId="1" fillId="48" borderId="0" applyNumberFormat="0" applyBorder="0" applyProtection="0">
      <alignment wrapText="1"/>
    </xf>
    <xf numFmtId="0" fontId="1" fillId="48" borderId="0" applyNumberFormat="0" applyBorder="0" applyProtection="0">
      <alignment wrapText="1"/>
    </xf>
    <xf numFmtId="0" fontId="1" fillId="48" borderId="0" applyNumberFormat="0" applyBorder="0" applyProtection="0">
      <alignment wrapText="1"/>
    </xf>
    <xf numFmtId="0" fontId="1" fillId="48" borderId="0" applyNumberFormat="0" applyBorder="0" applyProtection="0">
      <alignment wrapText="1"/>
    </xf>
    <xf numFmtId="0" fontId="1" fillId="48" borderId="0" applyNumberFormat="0" applyBorder="0" applyProtection="0">
      <alignment wrapText="1"/>
    </xf>
    <xf numFmtId="0" fontId="1" fillId="48" borderId="0" applyNumberFormat="0" applyBorder="0" applyProtection="0">
      <alignment wrapText="1"/>
    </xf>
    <xf numFmtId="0" fontId="1" fillId="48" borderId="0" applyNumberFormat="0" applyBorder="0" applyProtection="0">
      <alignment wrapText="1"/>
    </xf>
    <xf numFmtId="0" fontId="1" fillId="48" borderId="0" applyNumberFormat="0" applyBorder="0" applyProtection="0">
      <alignment wrapText="1"/>
    </xf>
    <xf numFmtId="0" fontId="1" fillId="48" borderId="0" applyNumberFormat="0" applyBorder="0" applyProtection="0">
      <alignment wrapText="1"/>
    </xf>
    <xf numFmtId="0" fontId="1" fillId="48" borderId="0" applyNumberFormat="0" applyBorder="0" applyProtection="0">
      <alignment wrapText="1"/>
    </xf>
    <xf numFmtId="0" fontId="1" fillId="48" borderId="0" applyNumberFormat="0" applyBorder="0" applyProtection="0">
      <alignment wrapText="1"/>
    </xf>
    <xf numFmtId="0" fontId="1" fillId="48" borderId="0" applyNumberFormat="0" applyBorder="0" applyProtection="0">
      <alignment wrapText="1"/>
    </xf>
    <xf numFmtId="0" fontId="1" fillId="48" borderId="0" applyNumberFormat="0" applyBorder="0" applyProtection="0">
      <alignment wrapText="1"/>
    </xf>
    <xf numFmtId="0" fontId="1" fillId="48" borderId="0" applyNumberFormat="0" applyBorder="0" applyProtection="0">
      <alignment wrapText="1"/>
    </xf>
    <xf numFmtId="0" fontId="1" fillId="48" borderId="0" applyNumberFormat="0" applyBorder="0" applyProtection="0">
      <alignment wrapText="1"/>
    </xf>
    <xf numFmtId="0" fontId="1" fillId="48" borderId="0" applyNumberFormat="0" applyBorder="0" applyProtection="0">
      <alignment wrapText="1"/>
    </xf>
    <xf numFmtId="0" fontId="1" fillId="48" borderId="0" applyNumberFormat="0" applyBorder="0" applyProtection="0">
      <alignment wrapText="1"/>
    </xf>
    <xf numFmtId="0" fontId="1" fillId="48" borderId="0" applyNumberFormat="0" applyBorder="0" applyProtection="0">
      <alignment wrapText="1"/>
    </xf>
    <xf numFmtId="0" fontId="1" fillId="48" borderId="0" applyNumberFormat="0" applyBorder="0" applyProtection="0">
      <alignment wrapText="1"/>
    </xf>
    <xf numFmtId="0" fontId="1" fillId="48" borderId="0" applyNumberFormat="0" applyBorder="0" applyProtection="0">
      <alignment wrapText="1"/>
    </xf>
    <xf numFmtId="0" fontId="1" fillId="48" borderId="0" applyNumberFormat="0" applyBorder="0" applyProtection="0">
      <alignment wrapText="1"/>
    </xf>
    <xf numFmtId="0" fontId="1" fillId="48" borderId="0" applyNumberFormat="0" applyBorder="0" applyProtection="0">
      <alignment wrapText="1"/>
    </xf>
    <xf numFmtId="0" fontId="1" fillId="48" borderId="0" applyNumberFormat="0" applyBorder="0" applyProtection="0">
      <alignment wrapText="1"/>
    </xf>
    <xf numFmtId="0" fontId="1" fillId="48" borderId="0" applyNumberFormat="0" applyBorder="0" applyProtection="0">
      <alignment wrapText="1"/>
    </xf>
    <xf numFmtId="0" fontId="1" fillId="48" borderId="0" applyNumberFormat="0" applyBorder="0" applyProtection="0">
      <alignment wrapText="1"/>
    </xf>
    <xf numFmtId="0" fontId="1" fillId="48" borderId="0" applyNumberFormat="0" applyBorder="0" applyProtection="0">
      <alignment wrapText="1"/>
    </xf>
    <xf numFmtId="0" fontId="1" fillId="48" borderId="0" applyNumberFormat="0" applyBorder="0" applyProtection="0">
      <alignment wrapText="1"/>
    </xf>
    <xf numFmtId="0" fontId="1" fillId="48" borderId="0" applyNumberFormat="0" applyBorder="0" applyProtection="0">
      <alignment wrapText="1"/>
    </xf>
    <xf numFmtId="0" fontId="1" fillId="48" borderId="0" applyNumberFormat="0" applyBorder="0" applyProtection="0">
      <alignment wrapText="1"/>
    </xf>
    <xf numFmtId="0" fontId="1" fillId="49" borderId="0" applyNumberFormat="0" applyBorder="0" applyAlignment="0" applyProtection="0"/>
    <xf numFmtId="0" fontId="1" fillId="49" borderId="0" applyNumberFormat="0" applyBorder="0" applyAlignment="0" applyProtection="0"/>
    <xf numFmtId="0" fontId="1" fillId="48" borderId="0" applyNumberFormat="0" applyBorder="0" applyProtection="0">
      <alignment wrapText="1"/>
    </xf>
    <xf numFmtId="0" fontId="1" fillId="48" borderId="0" applyNumberFormat="0" applyBorder="0" applyProtection="0">
      <alignment wrapText="1"/>
    </xf>
    <xf numFmtId="0" fontId="1" fillId="48" borderId="0" applyNumberFormat="0" applyBorder="0" applyProtection="0">
      <alignment wrapText="1"/>
    </xf>
    <xf numFmtId="0" fontId="1" fillId="48" borderId="0" applyNumberFormat="0" applyBorder="0" applyProtection="0">
      <alignment wrapText="1"/>
    </xf>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8" borderId="0" applyNumberFormat="0" applyBorder="0" applyProtection="0">
      <alignment wrapText="1"/>
    </xf>
    <xf numFmtId="0" fontId="1" fillId="48" borderId="0" applyNumberFormat="0" applyBorder="0" applyProtection="0">
      <alignment wrapText="1"/>
    </xf>
    <xf numFmtId="0" fontId="1" fillId="48" borderId="0" applyNumberFormat="0" applyBorder="0" applyProtection="0">
      <alignment wrapText="1"/>
    </xf>
    <xf numFmtId="0" fontId="1" fillId="48" borderId="0" applyNumberFormat="0" applyBorder="0" applyProtection="0">
      <alignment wrapText="1"/>
    </xf>
    <xf numFmtId="0" fontId="1" fillId="48" borderId="0" applyNumberFormat="0" applyBorder="0" applyProtection="0">
      <alignment wrapText="1"/>
    </xf>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8" borderId="0" applyNumberFormat="0" applyBorder="0" applyProtection="0">
      <alignment wrapText="1"/>
    </xf>
    <xf numFmtId="0" fontId="1" fillId="48" borderId="0" applyNumberFormat="0" applyBorder="0" applyProtection="0">
      <alignment wrapText="1"/>
    </xf>
    <xf numFmtId="0" fontId="1" fillId="48" borderId="0" applyNumberFormat="0" applyBorder="0" applyProtection="0">
      <alignment wrapText="1"/>
    </xf>
    <xf numFmtId="0" fontId="1" fillId="48" borderId="0" applyNumberFormat="0" applyBorder="0" applyProtection="0">
      <alignment wrapText="1"/>
    </xf>
    <xf numFmtId="0" fontId="1" fillId="48" borderId="0" applyNumberFormat="0" applyBorder="0" applyProtection="0">
      <alignment wrapText="1"/>
    </xf>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8" borderId="0" applyNumberFormat="0" applyBorder="0" applyProtection="0">
      <alignment wrapText="1"/>
    </xf>
    <xf numFmtId="0" fontId="1" fillId="48" borderId="0" applyNumberFormat="0" applyBorder="0" applyProtection="0">
      <alignment wrapText="1"/>
    </xf>
    <xf numFmtId="0" fontId="1" fillId="48" borderId="0" applyNumberFormat="0" applyBorder="0" applyProtection="0">
      <alignment wrapText="1"/>
    </xf>
    <xf numFmtId="0" fontId="1" fillId="48" borderId="0" applyNumberFormat="0" applyBorder="0" applyProtection="0">
      <alignment wrapText="1"/>
    </xf>
    <xf numFmtId="0" fontId="1" fillId="48" borderId="0" applyNumberFormat="0" applyBorder="0" applyProtection="0">
      <alignment wrapText="1"/>
    </xf>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8" borderId="0" applyNumberFormat="0" applyBorder="0" applyProtection="0">
      <alignment wrapText="1"/>
    </xf>
    <xf numFmtId="0" fontId="1" fillId="48" borderId="0" applyNumberFormat="0" applyBorder="0" applyProtection="0">
      <alignment wrapText="1"/>
    </xf>
    <xf numFmtId="0" fontId="1" fillId="48" borderId="0" applyNumberFormat="0" applyBorder="0" applyProtection="0">
      <alignment wrapText="1"/>
    </xf>
    <xf numFmtId="0" fontId="1" fillId="48" borderId="0" applyNumberFormat="0" applyBorder="0" applyProtection="0">
      <alignment wrapText="1"/>
    </xf>
    <xf numFmtId="0" fontId="1" fillId="48" borderId="0" applyNumberFormat="0" applyBorder="0" applyProtection="0">
      <alignment wrapText="1"/>
    </xf>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8" borderId="0" applyNumberFormat="0" applyBorder="0" applyProtection="0">
      <alignment wrapText="1"/>
    </xf>
    <xf numFmtId="0" fontId="1" fillId="48" borderId="0" applyNumberFormat="0" applyBorder="0" applyProtection="0">
      <alignment wrapText="1"/>
    </xf>
    <xf numFmtId="0" fontId="1" fillId="48" borderId="0" applyNumberFormat="0" applyBorder="0" applyProtection="0">
      <alignment wrapText="1"/>
    </xf>
    <xf numFmtId="0" fontId="1" fillId="48" borderId="0" applyNumberFormat="0" applyBorder="0" applyProtection="0">
      <alignment wrapText="1"/>
    </xf>
    <xf numFmtId="0" fontId="1" fillId="48" borderId="0" applyNumberFormat="0" applyBorder="0" applyProtection="0">
      <alignment wrapText="1"/>
    </xf>
    <xf numFmtId="0" fontId="1" fillId="49" borderId="0" applyNumberFormat="0" applyBorder="0" applyAlignment="0" applyProtection="0"/>
    <xf numFmtId="0" fontId="1" fillId="49" borderId="0" applyNumberFormat="0" applyBorder="0" applyAlignment="0" applyProtection="0"/>
    <xf numFmtId="0" fontId="1" fillId="48" borderId="0" applyNumberFormat="0" applyBorder="0" applyProtection="0">
      <alignment wrapText="1"/>
    </xf>
    <xf numFmtId="0" fontId="1" fillId="48" borderId="0" applyNumberFormat="0" applyBorder="0" applyProtection="0">
      <alignment wrapText="1"/>
    </xf>
    <xf numFmtId="0" fontId="1" fillId="48" borderId="0" applyNumberFormat="0" applyBorder="0" applyProtection="0">
      <alignment wrapText="1"/>
    </xf>
    <xf numFmtId="0" fontId="1" fillId="48" borderId="0" applyNumberFormat="0" applyBorder="0" applyProtection="0">
      <alignment wrapText="1"/>
    </xf>
    <xf numFmtId="0" fontId="1" fillId="48" borderId="0" applyNumberFormat="0" applyBorder="0" applyProtection="0">
      <alignment wrapText="1"/>
    </xf>
    <xf numFmtId="0" fontId="1" fillId="48" borderId="0" applyNumberFormat="0" applyBorder="0" applyProtection="0">
      <alignment wrapText="1"/>
    </xf>
    <xf numFmtId="0" fontId="1" fillId="48" borderId="0" applyNumberFormat="0" applyBorder="0" applyProtection="0">
      <alignment wrapText="1"/>
    </xf>
    <xf numFmtId="0" fontId="1" fillId="48" borderId="0" applyNumberFormat="0" applyBorder="0" applyProtection="0">
      <alignment wrapText="1"/>
    </xf>
    <xf numFmtId="0" fontId="1" fillId="48" borderId="0" applyNumberFormat="0" applyBorder="0" applyProtection="0">
      <alignment wrapText="1"/>
    </xf>
    <xf numFmtId="0" fontId="1" fillId="48" borderId="0" applyNumberFormat="0" applyBorder="0" applyProtection="0">
      <alignment wrapText="1"/>
    </xf>
    <xf numFmtId="0" fontId="1" fillId="50" borderId="0" applyNumberFormat="0" applyBorder="0" applyProtection="0">
      <alignment wrapText="1"/>
    </xf>
    <xf numFmtId="0" fontId="1" fillId="50" borderId="0" applyNumberFormat="0" applyBorder="0" applyProtection="0">
      <alignment wrapText="1"/>
    </xf>
    <xf numFmtId="0" fontId="1" fillId="50" borderId="0" applyNumberFormat="0" applyBorder="0" applyProtection="0">
      <alignment wrapText="1"/>
    </xf>
    <xf numFmtId="0" fontId="1" fillId="50" borderId="0" applyNumberFormat="0" applyBorder="0" applyProtection="0">
      <alignment wrapText="1"/>
    </xf>
    <xf numFmtId="0" fontId="1" fillId="50" borderId="0" applyNumberFormat="0" applyBorder="0" applyProtection="0">
      <alignment wrapText="1"/>
    </xf>
    <xf numFmtId="0" fontId="1" fillId="50" borderId="0" applyNumberFormat="0" applyBorder="0" applyProtection="0">
      <alignment wrapText="1"/>
    </xf>
    <xf numFmtId="0" fontId="1" fillId="50" borderId="0" applyNumberFormat="0" applyBorder="0" applyProtection="0">
      <alignment wrapText="1"/>
    </xf>
    <xf numFmtId="0" fontId="1" fillId="50" borderId="0" applyNumberFormat="0" applyBorder="0" applyProtection="0">
      <alignment wrapText="1"/>
    </xf>
    <xf numFmtId="0" fontId="1" fillId="50" borderId="0" applyNumberFormat="0" applyBorder="0" applyProtection="0">
      <alignment wrapText="1"/>
    </xf>
    <xf numFmtId="0" fontId="1" fillId="50" borderId="0" applyNumberFormat="0" applyBorder="0" applyProtection="0">
      <alignment wrapText="1"/>
    </xf>
    <xf numFmtId="0" fontId="1" fillId="50" borderId="0" applyNumberFormat="0" applyBorder="0" applyProtection="0">
      <alignment wrapText="1"/>
    </xf>
    <xf numFmtId="0" fontId="1" fillId="50" borderId="0" applyNumberFormat="0" applyBorder="0" applyProtection="0">
      <alignment wrapText="1"/>
    </xf>
    <xf numFmtId="0" fontId="1" fillId="50" borderId="0" applyNumberFormat="0" applyBorder="0" applyProtection="0">
      <alignment wrapText="1"/>
    </xf>
    <xf numFmtId="0" fontId="1" fillId="50" borderId="0" applyNumberFormat="0" applyBorder="0" applyProtection="0">
      <alignment wrapText="1"/>
    </xf>
    <xf numFmtId="0" fontId="1" fillId="50" borderId="0" applyNumberFormat="0" applyBorder="0" applyProtection="0">
      <alignment wrapText="1"/>
    </xf>
    <xf numFmtId="0" fontId="1" fillId="50" borderId="0" applyNumberFormat="0" applyBorder="0" applyProtection="0">
      <alignment wrapText="1"/>
    </xf>
    <xf numFmtId="0" fontId="1" fillId="50" borderId="0" applyNumberFormat="0" applyBorder="0" applyProtection="0">
      <alignment wrapText="1"/>
    </xf>
    <xf numFmtId="0" fontId="1" fillId="50" borderId="0" applyNumberFormat="0" applyBorder="0" applyProtection="0">
      <alignment wrapText="1"/>
    </xf>
    <xf numFmtId="0" fontId="1" fillId="50" borderId="0" applyNumberFormat="0" applyBorder="0" applyProtection="0">
      <alignment wrapText="1"/>
    </xf>
    <xf numFmtId="0" fontId="1" fillId="50" borderId="0" applyNumberFormat="0" applyBorder="0" applyProtection="0">
      <alignment wrapText="1"/>
    </xf>
    <xf numFmtId="0" fontId="1" fillId="50" borderId="0" applyNumberFormat="0" applyBorder="0" applyProtection="0">
      <alignment wrapText="1"/>
    </xf>
    <xf numFmtId="0" fontId="1" fillId="50" borderId="0" applyNumberFormat="0" applyBorder="0" applyProtection="0">
      <alignment wrapText="1"/>
    </xf>
    <xf numFmtId="0" fontId="1" fillId="50" borderId="0" applyNumberFormat="0" applyBorder="0" applyProtection="0">
      <alignment wrapText="1"/>
    </xf>
    <xf numFmtId="0" fontId="1" fillId="50" borderId="0" applyNumberFormat="0" applyBorder="0" applyProtection="0">
      <alignment wrapText="1"/>
    </xf>
    <xf numFmtId="0" fontId="1" fillId="50" borderId="0" applyNumberFormat="0" applyBorder="0" applyProtection="0">
      <alignment wrapText="1"/>
    </xf>
    <xf numFmtId="0" fontId="1" fillId="50" borderId="0" applyNumberFormat="0" applyBorder="0" applyProtection="0">
      <alignment wrapText="1"/>
    </xf>
    <xf numFmtId="0" fontId="1" fillId="50" borderId="0" applyNumberFormat="0" applyBorder="0" applyProtection="0">
      <alignment wrapText="1"/>
    </xf>
    <xf numFmtId="0" fontId="1" fillId="50" borderId="0" applyNumberFormat="0" applyBorder="0" applyProtection="0">
      <alignment wrapText="1"/>
    </xf>
    <xf numFmtId="0" fontId="1" fillId="50" borderId="0" applyNumberFormat="0" applyBorder="0" applyProtection="0">
      <alignment wrapText="1"/>
    </xf>
    <xf numFmtId="0" fontId="1" fillId="50" borderId="0" applyNumberFormat="0" applyBorder="0" applyProtection="0">
      <alignment wrapText="1"/>
    </xf>
    <xf numFmtId="0" fontId="1" fillId="50" borderId="0" applyNumberFormat="0" applyBorder="0" applyProtection="0">
      <alignment wrapText="1"/>
    </xf>
    <xf numFmtId="0" fontId="1" fillId="50" borderId="0" applyNumberFormat="0" applyBorder="0" applyProtection="0">
      <alignment wrapText="1"/>
    </xf>
    <xf numFmtId="0" fontId="1" fillId="50" borderId="0" applyNumberFormat="0" applyBorder="0" applyProtection="0">
      <alignment wrapText="1"/>
    </xf>
    <xf numFmtId="0" fontId="1" fillId="50" borderId="0" applyNumberFormat="0" applyBorder="0" applyProtection="0">
      <alignment wrapText="1"/>
    </xf>
    <xf numFmtId="0" fontId="1" fillId="50" borderId="0" applyNumberFormat="0" applyBorder="0" applyProtection="0">
      <alignment wrapText="1"/>
    </xf>
    <xf numFmtId="0" fontId="1" fillId="50" borderId="0" applyNumberFormat="0" applyBorder="0" applyProtection="0">
      <alignment wrapText="1"/>
    </xf>
    <xf numFmtId="0" fontId="1" fillId="50" borderId="0" applyNumberFormat="0" applyBorder="0" applyProtection="0">
      <alignment wrapText="1"/>
    </xf>
    <xf numFmtId="0" fontId="1" fillId="50" borderId="0" applyNumberFormat="0" applyBorder="0" applyProtection="0">
      <alignment wrapText="1"/>
    </xf>
    <xf numFmtId="0" fontId="1" fillId="50" borderId="0" applyNumberFormat="0" applyBorder="0" applyProtection="0">
      <alignment wrapText="1"/>
    </xf>
    <xf numFmtId="0" fontId="1" fillId="50" borderId="0" applyNumberFormat="0" applyBorder="0" applyProtection="0">
      <alignment wrapText="1"/>
    </xf>
    <xf numFmtId="0" fontId="1" fillId="50" borderId="0" applyNumberFormat="0" applyBorder="0" applyProtection="0">
      <alignment wrapText="1"/>
    </xf>
    <xf numFmtId="0" fontId="1" fillId="50" borderId="0" applyNumberFormat="0" applyBorder="0" applyProtection="0">
      <alignment wrapText="1"/>
    </xf>
    <xf numFmtId="0" fontId="1" fillId="50" borderId="0" applyNumberFormat="0" applyBorder="0" applyProtection="0">
      <alignment wrapText="1"/>
    </xf>
    <xf numFmtId="0" fontId="1" fillId="50" borderId="0" applyNumberFormat="0" applyBorder="0" applyProtection="0">
      <alignment wrapText="1"/>
    </xf>
    <xf numFmtId="0" fontId="1" fillId="50" borderId="0" applyNumberFormat="0" applyBorder="0" applyProtection="0">
      <alignment wrapText="1"/>
    </xf>
    <xf numFmtId="0" fontId="1" fillId="51" borderId="0" applyNumberFormat="0" applyBorder="0" applyAlignment="0" applyProtection="0"/>
    <xf numFmtId="0" fontId="1" fillId="51" borderId="0" applyNumberFormat="0" applyBorder="0" applyAlignment="0" applyProtection="0"/>
    <xf numFmtId="0" fontId="1" fillId="50" borderId="0" applyNumberFormat="0" applyBorder="0" applyProtection="0">
      <alignment wrapText="1"/>
    </xf>
    <xf numFmtId="0" fontId="1" fillId="50" borderId="0" applyNumberFormat="0" applyBorder="0" applyProtection="0">
      <alignment wrapText="1"/>
    </xf>
    <xf numFmtId="0" fontId="1" fillId="50" borderId="0" applyNumberFormat="0" applyBorder="0" applyProtection="0">
      <alignment wrapText="1"/>
    </xf>
    <xf numFmtId="0" fontId="1" fillId="50" borderId="0" applyNumberFormat="0" applyBorder="0" applyProtection="0">
      <alignment wrapText="1"/>
    </xf>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0" borderId="0" applyNumberFormat="0" applyBorder="0" applyProtection="0">
      <alignment wrapText="1"/>
    </xf>
    <xf numFmtId="0" fontId="1" fillId="50" borderId="0" applyNumberFormat="0" applyBorder="0" applyProtection="0">
      <alignment wrapText="1"/>
    </xf>
    <xf numFmtId="0" fontId="1" fillId="50" borderId="0" applyNumberFormat="0" applyBorder="0" applyProtection="0">
      <alignment wrapText="1"/>
    </xf>
    <xf numFmtId="0" fontId="1" fillId="50" borderId="0" applyNumberFormat="0" applyBorder="0" applyProtection="0">
      <alignment wrapText="1"/>
    </xf>
    <xf numFmtId="0" fontId="1" fillId="50" borderId="0" applyNumberFormat="0" applyBorder="0" applyProtection="0">
      <alignment wrapText="1"/>
    </xf>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0" borderId="0" applyNumberFormat="0" applyBorder="0" applyProtection="0">
      <alignment wrapText="1"/>
    </xf>
    <xf numFmtId="0" fontId="1" fillId="50" borderId="0" applyNumberFormat="0" applyBorder="0" applyProtection="0">
      <alignment wrapText="1"/>
    </xf>
    <xf numFmtId="0" fontId="1" fillId="50" borderId="0" applyNumberFormat="0" applyBorder="0" applyProtection="0">
      <alignment wrapText="1"/>
    </xf>
    <xf numFmtId="0" fontId="1" fillId="50" borderId="0" applyNumberFormat="0" applyBorder="0" applyProtection="0">
      <alignment wrapText="1"/>
    </xf>
    <xf numFmtId="0" fontId="1" fillId="50" borderId="0" applyNumberFormat="0" applyBorder="0" applyProtection="0">
      <alignment wrapText="1"/>
    </xf>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0" borderId="0" applyNumberFormat="0" applyBorder="0" applyProtection="0">
      <alignment wrapText="1"/>
    </xf>
    <xf numFmtId="0" fontId="1" fillId="50" borderId="0" applyNumberFormat="0" applyBorder="0" applyProtection="0">
      <alignment wrapText="1"/>
    </xf>
    <xf numFmtId="0" fontId="1" fillId="50" borderId="0" applyNumberFormat="0" applyBorder="0" applyProtection="0">
      <alignment wrapText="1"/>
    </xf>
    <xf numFmtId="0" fontId="1" fillId="50" borderId="0" applyNumberFormat="0" applyBorder="0" applyProtection="0">
      <alignment wrapText="1"/>
    </xf>
    <xf numFmtId="0" fontId="1" fillId="50" borderId="0" applyNumberFormat="0" applyBorder="0" applyProtection="0">
      <alignment wrapText="1"/>
    </xf>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0" borderId="0" applyNumberFormat="0" applyBorder="0" applyProtection="0">
      <alignment wrapText="1"/>
    </xf>
    <xf numFmtId="0" fontId="1" fillId="50" borderId="0" applyNumberFormat="0" applyBorder="0" applyProtection="0">
      <alignment wrapText="1"/>
    </xf>
    <xf numFmtId="0" fontId="1" fillId="50" borderId="0" applyNumberFormat="0" applyBorder="0" applyProtection="0">
      <alignment wrapText="1"/>
    </xf>
    <xf numFmtId="0" fontId="1" fillId="50" borderId="0" applyNumberFormat="0" applyBorder="0" applyProtection="0">
      <alignment wrapText="1"/>
    </xf>
    <xf numFmtId="0" fontId="1" fillId="50" borderId="0" applyNumberFormat="0" applyBorder="0" applyProtection="0">
      <alignment wrapText="1"/>
    </xf>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0" borderId="0" applyNumberFormat="0" applyBorder="0" applyProtection="0">
      <alignment wrapText="1"/>
    </xf>
    <xf numFmtId="0" fontId="1" fillId="50" borderId="0" applyNumberFormat="0" applyBorder="0" applyProtection="0">
      <alignment wrapText="1"/>
    </xf>
    <xf numFmtId="0" fontId="1" fillId="50" borderId="0" applyNumberFormat="0" applyBorder="0" applyProtection="0">
      <alignment wrapText="1"/>
    </xf>
    <xf numFmtId="0" fontId="1" fillId="50" borderId="0" applyNumberFormat="0" applyBorder="0" applyProtection="0">
      <alignment wrapText="1"/>
    </xf>
    <xf numFmtId="0" fontId="1" fillId="50" borderId="0" applyNumberFormat="0" applyBorder="0" applyProtection="0">
      <alignment wrapText="1"/>
    </xf>
    <xf numFmtId="0" fontId="1" fillId="51" borderId="0" applyNumberFormat="0" applyBorder="0" applyAlignment="0" applyProtection="0"/>
    <xf numFmtId="0" fontId="1" fillId="51" borderId="0" applyNumberFormat="0" applyBorder="0" applyAlignment="0" applyProtection="0"/>
    <xf numFmtId="0" fontId="1" fillId="50" borderId="0" applyNumberFormat="0" applyBorder="0" applyProtection="0">
      <alignment wrapText="1"/>
    </xf>
    <xf numFmtId="0" fontId="1" fillId="50" borderId="0" applyNumberFormat="0" applyBorder="0" applyProtection="0">
      <alignment wrapText="1"/>
    </xf>
    <xf numFmtId="0" fontId="1" fillId="50" borderId="0" applyNumberFormat="0" applyBorder="0" applyProtection="0">
      <alignment wrapText="1"/>
    </xf>
    <xf numFmtId="0" fontId="1" fillId="50" borderId="0" applyNumberFormat="0" applyBorder="0" applyProtection="0">
      <alignment wrapText="1"/>
    </xf>
    <xf numFmtId="0" fontId="1" fillId="50" borderId="0" applyNumberFormat="0" applyBorder="0" applyProtection="0">
      <alignment wrapText="1"/>
    </xf>
    <xf numFmtId="0" fontId="1" fillId="50" borderId="0" applyNumberFormat="0" applyBorder="0" applyProtection="0">
      <alignment wrapText="1"/>
    </xf>
    <xf numFmtId="0" fontId="1" fillId="50" borderId="0" applyNumberFormat="0" applyBorder="0" applyProtection="0">
      <alignment wrapText="1"/>
    </xf>
    <xf numFmtId="0" fontId="1" fillId="50" borderId="0" applyNumberFormat="0" applyBorder="0" applyProtection="0">
      <alignment wrapText="1"/>
    </xf>
    <xf numFmtId="0" fontId="1" fillId="50" borderId="0" applyNumberFormat="0" applyBorder="0" applyProtection="0">
      <alignment wrapText="1"/>
    </xf>
    <xf numFmtId="0" fontId="1" fillId="50"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3" borderId="0" applyNumberFormat="0" applyBorder="0" applyAlignment="0" applyProtection="0"/>
    <xf numFmtId="0" fontId="1" fillId="53" borderId="0" applyNumberFormat="0" applyBorder="0" applyAlignment="0" applyProtection="0"/>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3" borderId="0" applyNumberFormat="0" applyBorder="0" applyAlignment="0" applyProtection="0"/>
    <xf numFmtId="0" fontId="1" fillId="53" borderId="0" applyNumberFormat="0" applyBorder="0" applyAlignment="0" applyProtection="0"/>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4" borderId="0" applyNumberFormat="0" applyBorder="0" applyProtection="0">
      <alignment wrapText="1"/>
    </xf>
    <xf numFmtId="0" fontId="1" fillId="54" borderId="0" applyNumberFormat="0" applyBorder="0" applyProtection="0">
      <alignment wrapText="1"/>
    </xf>
    <xf numFmtId="0" fontId="1" fillId="54" borderId="0" applyNumberFormat="0" applyBorder="0" applyProtection="0">
      <alignment wrapText="1"/>
    </xf>
    <xf numFmtId="0" fontId="1" fillId="54" borderId="0" applyNumberFormat="0" applyBorder="0" applyProtection="0">
      <alignment wrapText="1"/>
    </xf>
    <xf numFmtId="0" fontId="1" fillId="54" borderId="0" applyNumberFormat="0" applyBorder="0" applyProtection="0">
      <alignment wrapText="1"/>
    </xf>
    <xf numFmtId="0" fontId="1" fillId="54" borderId="0" applyNumberFormat="0" applyBorder="0" applyProtection="0">
      <alignment wrapText="1"/>
    </xf>
    <xf numFmtId="0" fontId="1" fillId="54" borderId="0" applyNumberFormat="0" applyBorder="0" applyProtection="0">
      <alignment wrapText="1"/>
    </xf>
    <xf numFmtId="0" fontId="1" fillId="54" borderId="0" applyNumberFormat="0" applyBorder="0" applyProtection="0">
      <alignment wrapText="1"/>
    </xf>
    <xf numFmtId="0" fontId="1" fillId="54" borderId="0" applyNumberFormat="0" applyBorder="0" applyProtection="0">
      <alignment wrapText="1"/>
    </xf>
    <xf numFmtId="0" fontId="1" fillId="54" borderId="0" applyNumberFormat="0" applyBorder="0" applyProtection="0">
      <alignment wrapText="1"/>
    </xf>
    <xf numFmtId="0" fontId="1" fillId="54" borderId="0" applyNumberFormat="0" applyBorder="0" applyProtection="0">
      <alignment wrapText="1"/>
    </xf>
    <xf numFmtId="0" fontId="1" fillId="54" borderId="0" applyNumberFormat="0" applyBorder="0" applyProtection="0">
      <alignment wrapText="1"/>
    </xf>
    <xf numFmtId="0" fontId="1" fillId="54" borderId="0" applyNumberFormat="0" applyBorder="0" applyProtection="0">
      <alignment wrapText="1"/>
    </xf>
    <xf numFmtId="0" fontId="1" fillId="54" borderId="0" applyNumberFormat="0" applyBorder="0" applyProtection="0">
      <alignment wrapText="1"/>
    </xf>
    <xf numFmtId="0" fontId="1" fillId="54" borderId="0" applyNumberFormat="0" applyBorder="0" applyProtection="0">
      <alignment wrapText="1"/>
    </xf>
    <xf numFmtId="0" fontId="1" fillId="54" borderId="0" applyNumberFormat="0" applyBorder="0" applyProtection="0">
      <alignment wrapText="1"/>
    </xf>
    <xf numFmtId="0" fontId="1" fillId="54" borderId="0" applyNumberFormat="0" applyBorder="0" applyProtection="0">
      <alignment wrapText="1"/>
    </xf>
    <xf numFmtId="0" fontId="1" fillId="54" borderId="0" applyNumberFormat="0" applyBorder="0" applyProtection="0">
      <alignment wrapText="1"/>
    </xf>
    <xf numFmtId="0" fontId="1" fillId="54" borderId="0" applyNumberFormat="0" applyBorder="0" applyProtection="0">
      <alignment wrapText="1"/>
    </xf>
    <xf numFmtId="0" fontId="1" fillId="54" borderId="0" applyNumberFormat="0" applyBorder="0" applyProtection="0">
      <alignment wrapText="1"/>
    </xf>
    <xf numFmtId="0" fontId="1" fillId="54" borderId="0" applyNumberFormat="0" applyBorder="0" applyProtection="0">
      <alignment wrapText="1"/>
    </xf>
    <xf numFmtId="0" fontId="1" fillId="54" borderId="0" applyNumberFormat="0" applyBorder="0" applyProtection="0">
      <alignment wrapText="1"/>
    </xf>
    <xf numFmtId="0" fontId="1" fillId="54" borderId="0" applyNumberFormat="0" applyBorder="0" applyProtection="0">
      <alignment wrapText="1"/>
    </xf>
    <xf numFmtId="0" fontId="1" fillId="54" borderId="0" applyNumberFormat="0" applyBorder="0" applyProtection="0">
      <alignment wrapText="1"/>
    </xf>
    <xf numFmtId="0" fontId="1" fillId="54" borderId="0" applyNumberFormat="0" applyBorder="0" applyProtection="0">
      <alignment wrapText="1"/>
    </xf>
    <xf numFmtId="0" fontId="1" fillId="54" borderId="0" applyNumberFormat="0" applyBorder="0" applyProtection="0">
      <alignment wrapText="1"/>
    </xf>
    <xf numFmtId="0" fontId="1" fillId="54" borderId="0" applyNumberFormat="0" applyBorder="0" applyProtection="0">
      <alignment wrapText="1"/>
    </xf>
    <xf numFmtId="0" fontId="1" fillId="54" borderId="0" applyNumberFormat="0" applyBorder="0" applyProtection="0">
      <alignment wrapText="1"/>
    </xf>
    <xf numFmtId="0" fontId="1" fillId="54" borderId="0" applyNumberFormat="0" applyBorder="0" applyProtection="0">
      <alignment wrapText="1"/>
    </xf>
    <xf numFmtId="0" fontId="1" fillId="54" borderId="0" applyNumberFormat="0" applyBorder="0" applyProtection="0">
      <alignment wrapText="1"/>
    </xf>
    <xf numFmtId="0" fontId="1" fillId="54" borderId="0" applyNumberFormat="0" applyBorder="0" applyProtection="0">
      <alignment wrapText="1"/>
    </xf>
    <xf numFmtId="0" fontId="1" fillId="54" borderId="0" applyNumberFormat="0" applyBorder="0" applyProtection="0">
      <alignment wrapText="1"/>
    </xf>
    <xf numFmtId="0" fontId="1" fillId="54" borderId="0" applyNumberFormat="0" applyBorder="0" applyProtection="0">
      <alignment wrapText="1"/>
    </xf>
    <xf numFmtId="0" fontId="1" fillId="54" borderId="0" applyNumberFormat="0" applyBorder="0" applyProtection="0">
      <alignment wrapText="1"/>
    </xf>
    <xf numFmtId="0" fontId="1" fillId="54" borderId="0" applyNumberFormat="0" applyBorder="0" applyProtection="0">
      <alignment wrapText="1"/>
    </xf>
    <xf numFmtId="0" fontId="1" fillId="54" borderId="0" applyNumberFormat="0" applyBorder="0" applyProtection="0">
      <alignment wrapText="1"/>
    </xf>
    <xf numFmtId="0" fontId="1" fillId="54" borderId="0" applyNumberFormat="0" applyBorder="0" applyProtection="0">
      <alignment wrapText="1"/>
    </xf>
    <xf numFmtId="0" fontId="1" fillId="54" borderId="0" applyNumberFormat="0" applyBorder="0" applyProtection="0">
      <alignment wrapText="1"/>
    </xf>
    <xf numFmtId="0" fontId="1" fillId="54" borderId="0" applyNumberFormat="0" applyBorder="0" applyProtection="0">
      <alignment wrapText="1"/>
    </xf>
    <xf numFmtId="0" fontId="1" fillId="54" borderId="0" applyNumberFormat="0" applyBorder="0" applyProtection="0">
      <alignment wrapText="1"/>
    </xf>
    <xf numFmtId="0" fontId="1" fillId="54" borderId="0" applyNumberFormat="0" applyBorder="0" applyProtection="0">
      <alignment wrapText="1"/>
    </xf>
    <xf numFmtId="0" fontId="1" fillId="54" borderId="0" applyNumberFormat="0" applyBorder="0" applyProtection="0">
      <alignment wrapText="1"/>
    </xf>
    <xf numFmtId="0" fontId="1" fillId="54" borderId="0" applyNumberFormat="0" applyBorder="0" applyProtection="0">
      <alignment wrapText="1"/>
    </xf>
    <xf numFmtId="0" fontId="1" fillId="54" borderId="0" applyNumberFormat="0" applyBorder="0" applyProtection="0">
      <alignment wrapText="1"/>
    </xf>
    <xf numFmtId="0" fontId="1" fillId="54" borderId="0" applyNumberFormat="0" applyBorder="0" applyProtection="0">
      <alignment wrapText="1"/>
    </xf>
    <xf numFmtId="0" fontId="1" fillId="55" borderId="0" applyNumberFormat="0" applyBorder="0" applyAlignment="0" applyProtection="0"/>
    <xf numFmtId="0" fontId="1" fillId="55" borderId="0" applyNumberFormat="0" applyBorder="0" applyAlignment="0" applyProtection="0"/>
    <xf numFmtId="0" fontId="1" fillId="54" borderId="0" applyNumberFormat="0" applyBorder="0" applyProtection="0">
      <alignment wrapText="1"/>
    </xf>
    <xf numFmtId="0" fontId="1" fillId="54" borderId="0" applyNumberFormat="0" applyBorder="0" applyProtection="0">
      <alignment wrapText="1"/>
    </xf>
    <xf numFmtId="0" fontId="1" fillId="54" borderId="0" applyNumberFormat="0" applyBorder="0" applyProtection="0">
      <alignment wrapText="1"/>
    </xf>
    <xf numFmtId="0" fontId="1" fillId="54" borderId="0" applyNumberFormat="0" applyBorder="0" applyProtection="0">
      <alignment wrapText="1"/>
    </xf>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4" borderId="0" applyNumberFormat="0" applyBorder="0" applyProtection="0">
      <alignment wrapText="1"/>
    </xf>
    <xf numFmtId="0" fontId="1" fillId="54" borderId="0" applyNumberFormat="0" applyBorder="0" applyProtection="0">
      <alignment wrapText="1"/>
    </xf>
    <xf numFmtId="0" fontId="1" fillId="54" borderId="0" applyNumberFormat="0" applyBorder="0" applyProtection="0">
      <alignment wrapText="1"/>
    </xf>
    <xf numFmtId="0" fontId="1" fillId="54" borderId="0" applyNumberFormat="0" applyBorder="0" applyProtection="0">
      <alignment wrapText="1"/>
    </xf>
    <xf numFmtId="0" fontId="1" fillId="54" borderId="0" applyNumberFormat="0" applyBorder="0" applyProtection="0">
      <alignment wrapText="1"/>
    </xf>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4" borderId="0" applyNumberFormat="0" applyBorder="0" applyProtection="0">
      <alignment wrapText="1"/>
    </xf>
    <xf numFmtId="0" fontId="1" fillId="54" borderId="0" applyNumberFormat="0" applyBorder="0" applyProtection="0">
      <alignment wrapText="1"/>
    </xf>
    <xf numFmtId="0" fontId="1" fillId="54" borderId="0" applyNumberFormat="0" applyBorder="0" applyProtection="0">
      <alignment wrapText="1"/>
    </xf>
    <xf numFmtId="0" fontId="1" fillId="54" borderId="0" applyNumberFormat="0" applyBorder="0" applyProtection="0">
      <alignment wrapText="1"/>
    </xf>
    <xf numFmtId="0" fontId="1" fillId="54" borderId="0" applyNumberFormat="0" applyBorder="0" applyProtection="0">
      <alignment wrapText="1"/>
    </xf>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4" borderId="0" applyNumberFormat="0" applyBorder="0" applyProtection="0">
      <alignment wrapText="1"/>
    </xf>
    <xf numFmtId="0" fontId="1" fillId="54" borderId="0" applyNumberFormat="0" applyBorder="0" applyProtection="0">
      <alignment wrapText="1"/>
    </xf>
    <xf numFmtId="0" fontId="1" fillId="54" borderId="0" applyNumberFormat="0" applyBorder="0" applyProtection="0">
      <alignment wrapText="1"/>
    </xf>
    <xf numFmtId="0" fontId="1" fillId="54" borderId="0" applyNumberFormat="0" applyBorder="0" applyProtection="0">
      <alignment wrapText="1"/>
    </xf>
    <xf numFmtId="0" fontId="1" fillId="54" borderId="0" applyNumberFormat="0" applyBorder="0" applyProtection="0">
      <alignment wrapText="1"/>
    </xf>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4" borderId="0" applyNumberFormat="0" applyBorder="0" applyProtection="0">
      <alignment wrapText="1"/>
    </xf>
    <xf numFmtId="0" fontId="1" fillId="54" borderId="0" applyNumberFormat="0" applyBorder="0" applyProtection="0">
      <alignment wrapText="1"/>
    </xf>
    <xf numFmtId="0" fontId="1" fillId="54" borderId="0" applyNumberFormat="0" applyBorder="0" applyProtection="0">
      <alignment wrapText="1"/>
    </xf>
    <xf numFmtId="0" fontId="1" fillId="54" borderId="0" applyNumberFormat="0" applyBorder="0" applyProtection="0">
      <alignment wrapText="1"/>
    </xf>
    <xf numFmtId="0" fontId="1" fillId="54" borderId="0" applyNumberFormat="0" applyBorder="0" applyProtection="0">
      <alignment wrapText="1"/>
    </xf>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4" borderId="0" applyNumberFormat="0" applyBorder="0" applyProtection="0">
      <alignment wrapText="1"/>
    </xf>
    <xf numFmtId="0" fontId="1" fillId="54" borderId="0" applyNumberFormat="0" applyBorder="0" applyProtection="0">
      <alignment wrapText="1"/>
    </xf>
    <xf numFmtId="0" fontId="1" fillId="54" borderId="0" applyNumberFormat="0" applyBorder="0" applyProtection="0">
      <alignment wrapText="1"/>
    </xf>
    <xf numFmtId="0" fontId="1" fillId="54" borderId="0" applyNumberFormat="0" applyBorder="0" applyProtection="0">
      <alignment wrapText="1"/>
    </xf>
    <xf numFmtId="0" fontId="1" fillId="54" borderId="0" applyNumberFormat="0" applyBorder="0" applyProtection="0">
      <alignment wrapText="1"/>
    </xf>
    <xf numFmtId="0" fontId="1" fillId="55" borderId="0" applyNumberFormat="0" applyBorder="0" applyAlignment="0" applyProtection="0"/>
    <xf numFmtId="0" fontId="1" fillId="55" borderId="0" applyNumberFormat="0" applyBorder="0" applyAlignment="0" applyProtection="0"/>
    <xf numFmtId="0" fontId="1" fillId="54" borderId="0" applyNumberFormat="0" applyBorder="0" applyProtection="0">
      <alignment wrapText="1"/>
    </xf>
    <xf numFmtId="0" fontId="1" fillId="54" borderId="0" applyNumberFormat="0" applyBorder="0" applyProtection="0">
      <alignment wrapText="1"/>
    </xf>
    <xf numFmtId="0" fontId="1" fillId="54" borderId="0" applyNumberFormat="0" applyBorder="0" applyProtection="0">
      <alignment wrapText="1"/>
    </xf>
    <xf numFmtId="0" fontId="1" fillId="54" borderId="0" applyNumberFormat="0" applyBorder="0" applyProtection="0">
      <alignment wrapText="1"/>
    </xf>
    <xf numFmtId="0" fontId="1" fillId="54" borderId="0" applyNumberFormat="0" applyBorder="0" applyProtection="0">
      <alignment wrapText="1"/>
    </xf>
    <xf numFmtId="0" fontId="1" fillId="54" borderId="0" applyNumberFormat="0" applyBorder="0" applyProtection="0">
      <alignment wrapText="1"/>
    </xf>
    <xf numFmtId="0" fontId="1" fillId="54" borderId="0" applyNumberFormat="0" applyBorder="0" applyProtection="0">
      <alignment wrapText="1"/>
    </xf>
    <xf numFmtId="0" fontId="1" fillId="54" borderId="0" applyNumberFormat="0" applyBorder="0" applyProtection="0">
      <alignment wrapText="1"/>
    </xf>
    <xf numFmtId="0" fontId="1" fillId="54" borderId="0" applyNumberFormat="0" applyBorder="0" applyProtection="0">
      <alignment wrapText="1"/>
    </xf>
    <xf numFmtId="0" fontId="1" fillId="54" borderId="0" applyNumberFormat="0" applyBorder="0" applyProtection="0">
      <alignment wrapText="1"/>
    </xf>
    <xf numFmtId="0" fontId="1" fillId="56" borderId="0" applyNumberFormat="0" applyBorder="0" applyProtection="0">
      <alignment wrapText="1"/>
    </xf>
    <xf numFmtId="0" fontId="1" fillId="56" borderId="0" applyNumberFormat="0" applyBorder="0" applyProtection="0">
      <alignment wrapText="1"/>
    </xf>
    <xf numFmtId="0" fontId="1" fillId="56" borderId="0" applyNumberFormat="0" applyBorder="0" applyProtection="0">
      <alignment wrapText="1"/>
    </xf>
    <xf numFmtId="0" fontId="1" fillId="56" borderId="0" applyNumberFormat="0" applyBorder="0" applyProtection="0">
      <alignment wrapText="1"/>
    </xf>
    <xf numFmtId="0" fontId="1" fillId="56" borderId="0" applyNumberFormat="0" applyBorder="0" applyProtection="0">
      <alignment wrapText="1"/>
    </xf>
    <xf numFmtId="0" fontId="1" fillId="56" borderId="0" applyNumberFormat="0" applyBorder="0" applyProtection="0">
      <alignment wrapText="1"/>
    </xf>
    <xf numFmtId="0" fontId="1" fillId="56" borderId="0" applyNumberFormat="0" applyBorder="0" applyProtection="0">
      <alignment wrapText="1"/>
    </xf>
    <xf numFmtId="0" fontId="1" fillId="56" borderId="0" applyNumberFormat="0" applyBorder="0" applyProtection="0">
      <alignment wrapText="1"/>
    </xf>
    <xf numFmtId="0" fontId="1" fillId="56" borderId="0" applyNumberFormat="0" applyBorder="0" applyProtection="0">
      <alignment wrapText="1"/>
    </xf>
    <xf numFmtId="0" fontId="1" fillId="56" borderId="0" applyNumberFormat="0" applyBorder="0" applyProtection="0">
      <alignment wrapText="1"/>
    </xf>
    <xf numFmtId="0" fontId="1" fillId="56" borderId="0" applyNumberFormat="0" applyBorder="0" applyProtection="0">
      <alignment wrapText="1"/>
    </xf>
    <xf numFmtId="0" fontId="1" fillId="56" borderId="0" applyNumberFormat="0" applyBorder="0" applyProtection="0">
      <alignment wrapText="1"/>
    </xf>
    <xf numFmtId="0" fontId="1" fillId="56" borderId="0" applyNumberFormat="0" applyBorder="0" applyProtection="0">
      <alignment wrapText="1"/>
    </xf>
    <xf numFmtId="0" fontId="1" fillId="56" borderId="0" applyNumberFormat="0" applyBorder="0" applyProtection="0">
      <alignment wrapText="1"/>
    </xf>
    <xf numFmtId="0" fontId="1" fillId="56" borderId="0" applyNumberFormat="0" applyBorder="0" applyProtection="0">
      <alignment wrapText="1"/>
    </xf>
    <xf numFmtId="0" fontId="1" fillId="56" borderId="0" applyNumberFormat="0" applyBorder="0" applyProtection="0">
      <alignment wrapText="1"/>
    </xf>
    <xf numFmtId="0" fontId="1" fillId="56" borderId="0" applyNumberFormat="0" applyBorder="0" applyProtection="0">
      <alignment wrapText="1"/>
    </xf>
    <xf numFmtId="0" fontId="1" fillId="56" borderId="0" applyNumberFormat="0" applyBorder="0" applyProtection="0">
      <alignment wrapText="1"/>
    </xf>
    <xf numFmtId="0" fontId="1" fillId="56" borderId="0" applyNumberFormat="0" applyBorder="0" applyProtection="0">
      <alignment wrapText="1"/>
    </xf>
    <xf numFmtId="0" fontId="1" fillId="56" borderId="0" applyNumberFormat="0" applyBorder="0" applyProtection="0">
      <alignment wrapText="1"/>
    </xf>
    <xf numFmtId="0" fontId="1" fillId="56" borderId="0" applyNumberFormat="0" applyBorder="0" applyProtection="0">
      <alignment wrapText="1"/>
    </xf>
    <xf numFmtId="0" fontId="1" fillId="56" borderId="0" applyNumberFormat="0" applyBorder="0" applyProtection="0">
      <alignment wrapText="1"/>
    </xf>
    <xf numFmtId="0" fontId="1" fillId="56" borderId="0" applyNumberFormat="0" applyBorder="0" applyProtection="0">
      <alignment wrapText="1"/>
    </xf>
    <xf numFmtId="0" fontId="1" fillId="56" borderId="0" applyNumberFormat="0" applyBorder="0" applyProtection="0">
      <alignment wrapText="1"/>
    </xf>
    <xf numFmtId="0" fontId="1" fillId="56" borderId="0" applyNumberFormat="0" applyBorder="0" applyProtection="0">
      <alignment wrapText="1"/>
    </xf>
    <xf numFmtId="0" fontId="1" fillId="56" borderId="0" applyNumberFormat="0" applyBorder="0" applyProtection="0">
      <alignment wrapText="1"/>
    </xf>
    <xf numFmtId="0" fontId="1" fillId="56" borderId="0" applyNumberFormat="0" applyBorder="0" applyProtection="0">
      <alignment wrapText="1"/>
    </xf>
    <xf numFmtId="0" fontId="1" fillId="56" borderId="0" applyNumberFormat="0" applyBorder="0" applyProtection="0">
      <alignment wrapText="1"/>
    </xf>
    <xf numFmtId="0" fontId="1" fillId="56" borderId="0" applyNumberFormat="0" applyBorder="0" applyProtection="0">
      <alignment wrapText="1"/>
    </xf>
    <xf numFmtId="0" fontId="1" fillId="56" borderId="0" applyNumberFormat="0" applyBorder="0" applyProtection="0">
      <alignment wrapText="1"/>
    </xf>
    <xf numFmtId="0" fontId="1" fillId="56" borderId="0" applyNumberFormat="0" applyBorder="0" applyProtection="0">
      <alignment wrapText="1"/>
    </xf>
    <xf numFmtId="0" fontId="1" fillId="56" borderId="0" applyNumberFormat="0" applyBorder="0" applyProtection="0">
      <alignment wrapText="1"/>
    </xf>
    <xf numFmtId="0" fontId="1" fillId="56" borderId="0" applyNumberFormat="0" applyBorder="0" applyProtection="0">
      <alignment wrapText="1"/>
    </xf>
    <xf numFmtId="0" fontId="1" fillId="56" borderId="0" applyNumberFormat="0" applyBorder="0" applyProtection="0">
      <alignment wrapText="1"/>
    </xf>
    <xf numFmtId="0" fontId="1" fillId="56" borderId="0" applyNumberFormat="0" applyBorder="0" applyProtection="0">
      <alignment wrapText="1"/>
    </xf>
    <xf numFmtId="0" fontId="1" fillId="56" borderId="0" applyNumberFormat="0" applyBorder="0" applyProtection="0">
      <alignment wrapText="1"/>
    </xf>
    <xf numFmtId="0" fontId="1" fillId="56" borderId="0" applyNumberFormat="0" applyBorder="0" applyProtection="0">
      <alignment wrapText="1"/>
    </xf>
    <xf numFmtId="0" fontId="1" fillId="56" borderId="0" applyNumberFormat="0" applyBorder="0" applyProtection="0">
      <alignment wrapText="1"/>
    </xf>
    <xf numFmtId="0" fontId="1" fillId="56" borderId="0" applyNumberFormat="0" applyBorder="0" applyProtection="0">
      <alignment wrapText="1"/>
    </xf>
    <xf numFmtId="0" fontId="1" fillId="56" borderId="0" applyNumberFormat="0" applyBorder="0" applyProtection="0">
      <alignment wrapText="1"/>
    </xf>
    <xf numFmtId="0" fontId="1" fillId="56" borderId="0" applyNumberFormat="0" applyBorder="0" applyProtection="0">
      <alignment wrapText="1"/>
    </xf>
    <xf numFmtId="0" fontId="1" fillId="56" borderId="0" applyNumberFormat="0" applyBorder="0" applyProtection="0">
      <alignment wrapText="1"/>
    </xf>
    <xf numFmtId="0" fontId="1" fillId="56" borderId="0" applyNumberFormat="0" applyBorder="0" applyProtection="0">
      <alignment wrapText="1"/>
    </xf>
    <xf numFmtId="0" fontId="1" fillId="56" borderId="0" applyNumberFormat="0" applyBorder="0" applyProtection="0">
      <alignment wrapText="1"/>
    </xf>
    <xf numFmtId="0" fontId="1" fillId="56" borderId="0" applyNumberFormat="0" applyBorder="0" applyProtection="0">
      <alignment wrapText="1"/>
    </xf>
    <xf numFmtId="0" fontId="1" fillId="57" borderId="0" applyNumberFormat="0" applyBorder="0" applyAlignment="0" applyProtection="0"/>
    <xf numFmtId="0" fontId="1" fillId="57" borderId="0" applyNumberFormat="0" applyBorder="0" applyAlignment="0" applyProtection="0"/>
    <xf numFmtId="0" fontId="1" fillId="56" borderId="0" applyNumberFormat="0" applyBorder="0" applyProtection="0">
      <alignment wrapText="1"/>
    </xf>
    <xf numFmtId="0" fontId="1" fillId="56" borderId="0" applyNumberFormat="0" applyBorder="0" applyProtection="0">
      <alignment wrapText="1"/>
    </xf>
    <xf numFmtId="0" fontId="1" fillId="56" borderId="0" applyNumberFormat="0" applyBorder="0" applyProtection="0">
      <alignment wrapText="1"/>
    </xf>
    <xf numFmtId="0" fontId="1" fillId="56" borderId="0" applyNumberFormat="0" applyBorder="0" applyProtection="0">
      <alignment wrapText="1"/>
    </xf>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6" borderId="0" applyNumberFormat="0" applyBorder="0" applyProtection="0">
      <alignment wrapText="1"/>
    </xf>
    <xf numFmtId="0" fontId="1" fillId="56" borderId="0" applyNumberFormat="0" applyBorder="0" applyProtection="0">
      <alignment wrapText="1"/>
    </xf>
    <xf numFmtId="0" fontId="1" fillId="56" borderId="0" applyNumberFormat="0" applyBorder="0" applyProtection="0">
      <alignment wrapText="1"/>
    </xf>
    <xf numFmtId="0" fontId="1" fillId="56" borderId="0" applyNumberFormat="0" applyBorder="0" applyProtection="0">
      <alignment wrapText="1"/>
    </xf>
    <xf numFmtId="0" fontId="1" fillId="56" borderId="0" applyNumberFormat="0" applyBorder="0" applyProtection="0">
      <alignment wrapText="1"/>
    </xf>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6" borderId="0" applyNumberFormat="0" applyBorder="0" applyProtection="0">
      <alignment wrapText="1"/>
    </xf>
    <xf numFmtId="0" fontId="1" fillId="56" borderId="0" applyNumberFormat="0" applyBorder="0" applyProtection="0">
      <alignment wrapText="1"/>
    </xf>
    <xf numFmtId="0" fontId="1" fillId="56" borderId="0" applyNumberFormat="0" applyBorder="0" applyProtection="0">
      <alignment wrapText="1"/>
    </xf>
    <xf numFmtId="0" fontId="1" fillId="56" borderId="0" applyNumberFormat="0" applyBorder="0" applyProtection="0">
      <alignment wrapText="1"/>
    </xf>
    <xf numFmtId="0" fontId="1" fillId="56" borderId="0" applyNumberFormat="0" applyBorder="0" applyProtection="0">
      <alignment wrapText="1"/>
    </xf>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6" borderId="0" applyNumberFormat="0" applyBorder="0" applyProtection="0">
      <alignment wrapText="1"/>
    </xf>
    <xf numFmtId="0" fontId="1" fillId="56" borderId="0" applyNumberFormat="0" applyBorder="0" applyProtection="0">
      <alignment wrapText="1"/>
    </xf>
    <xf numFmtId="0" fontId="1" fillId="56" borderId="0" applyNumberFormat="0" applyBorder="0" applyProtection="0">
      <alignment wrapText="1"/>
    </xf>
    <xf numFmtId="0" fontId="1" fillId="56" borderId="0" applyNumberFormat="0" applyBorder="0" applyProtection="0">
      <alignment wrapText="1"/>
    </xf>
    <xf numFmtId="0" fontId="1" fillId="56" borderId="0" applyNumberFormat="0" applyBorder="0" applyProtection="0">
      <alignment wrapText="1"/>
    </xf>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6" borderId="0" applyNumberFormat="0" applyBorder="0" applyProtection="0">
      <alignment wrapText="1"/>
    </xf>
    <xf numFmtId="0" fontId="1" fillId="56" borderId="0" applyNumberFormat="0" applyBorder="0" applyProtection="0">
      <alignment wrapText="1"/>
    </xf>
    <xf numFmtId="0" fontId="1" fillId="56" borderId="0" applyNumberFormat="0" applyBorder="0" applyProtection="0">
      <alignment wrapText="1"/>
    </xf>
    <xf numFmtId="0" fontId="1" fillId="56" borderId="0" applyNumberFormat="0" applyBorder="0" applyProtection="0">
      <alignment wrapText="1"/>
    </xf>
    <xf numFmtId="0" fontId="1" fillId="56" borderId="0" applyNumberFormat="0" applyBorder="0" applyProtection="0">
      <alignment wrapText="1"/>
    </xf>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6" borderId="0" applyNumberFormat="0" applyBorder="0" applyProtection="0">
      <alignment wrapText="1"/>
    </xf>
    <xf numFmtId="0" fontId="1" fillId="56" borderId="0" applyNumberFormat="0" applyBorder="0" applyProtection="0">
      <alignment wrapText="1"/>
    </xf>
    <xf numFmtId="0" fontId="1" fillId="56" borderId="0" applyNumberFormat="0" applyBorder="0" applyProtection="0">
      <alignment wrapText="1"/>
    </xf>
    <xf numFmtId="0" fontId="1" fillId="56" borderId="0" applyNumberFormat="0" applyBorder="0" applyProtection="0">
      <alignment wrapText="1"/>
    </xf>
    <xf numFmtId="0" fontId="1" fillId="56" borderId="0" applyNumberFormat="0" applyBorder="0" applyProtection="0">
      <alignment wrapText="1"/>
    </xf>
    <xf numFmtId="0" fontId="1" fillId="57" borderId="0" applyNumberFormat="0" applyBorder="0" applyAlignment="0" applyProtection="0"/>
    <xf numFmtId="0" fontId="1" fillId="57" borderId="0" applyNumberFormat="0" applyBorder="0" applyAlignment="0" applyProtection="0"/>
    <xf numFmtId="0" fontId="1" fillId="56" borderId="0" applyNumberFormat="0" applyBorder="0" applyProtection="0">
      <alignment wrapText="1"/>
    </xf>
    <xf numFmtId="0" fontId="1" fillId="56" borderId="0" applyNumberFormat="0" applyBorder="0" applyProtection="0">
      <alignment wrapText="1"/>
    </xf>
    <xf numFmtId="0" fontId="1" fillId="56" borderId="0" applyNumberFormat="0" applyBorder="0" applyProtection="0">
      <alignment wrapText="1"/>
    </xf>
    <xf numFmtId="0" fontId="1" fillId="56" borderId="0" applyNumberFormat="0" applyBorder="0" applyProtection="0">
      <alignment wrapText="1"/>
    </xf>
    <xf numFmtId="0" fontId="1" fillId="56" borderId="0" applyNumberFormat="0" applyBorder="0" applyProtection="0">
      <alignment wrapText="1"/>
    </xf>
    <xf numFmtId="0" fontId="1" fillId="56" borderId="0" applyNumberFormat="0" applyBorder="0" applyProtection="0">
      <alignment wrapText="1"/>
    </xf>
    <xf numFmtId="0" fontId="1" fillId="56" borderId="0" applyNumberFormat="0" applyBorder="0" applyProtection="0">
      <alignment wrapText="1"/>
    </xf>
    <xf numFmtId="0" fontId="1" fillId="56" borderId="0" applyNumberFormat="0" applyBorder="0" applyProtection="0">
      <alignment wrapText="1"/>
    </xf>
    <xf numFmtId="0" fontId="1" fillId="56" borderId="0" applyNumberFormat="0" applyBorder="0" applyProtection="0">
      <alignment wrapText="1"/>
    </xf>
    <xf numFmtId="0" fontId="1" fillId="56" borderId="0" applyNumberFormat="0" applyBorder="0" applyProtection="0">
      <alignment wrapText="1"/>
    </xf>
    <xf numFmtId="0" fontId="1" fillId="47" borderId="0" applyNumberFormat="0" applyBorder="0" applyAlignment="0" applyProtection="0"/>
    <xf numFmtId="0" fontId="1" fillId="49" borderId="0" applyNumberFormat="0" applyBorder="0" applyAlignment="0" applyProtection="0"/>
    <xf numFmtId="0" fontId="1" fillId="51" borderId="0" applyNumberFormat="0" applyBorder="0" applyAlignment="0" applyProtection="0"/>
    <xf numFmtId="0" fontId="1" fillId="53" borderId="0" applyNumberFormat="0" applyBorder="0" applyAlignment="0" applyProtection="0"/>
    <xf numFmtId="0" fontId="1" fillId="55" borderId="0" applyNumberFormat="0" applyBorder="0" applyAlignment="0" applyProtection="0"/>
    <xf numFmtId="0" fontId="1" fillId="57" borderId="0" applyNumberFormat="0" applyBorder="0" applyAlignment="0" applyProtection="0"/>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9" borderId="0" applyNumberFormat="0" applyBorder="0" applyAlignment="0" applyProtection="0"/>
    <xf numFmtId="0" fontId="1" fillId="59" borderId="0" applyNumberFormat="0" applyBorder="0" applyAlignment="0" applyProtection="0"/>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9" borderId="0" applyNumberFormat="0" applyBorder="0" applyAlignment="0" applyProtection="0"/>
    <xf numFmtId="0" fontId="1" fillId="59" borderId="0" applyNumberFormat="0" applyBorder="0" applyAlignment="0" applyProtection="0"/>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60" borderId="0" applyNumberFormat="0" applyBorder="0" applyProtection="0">
      <alignment wrapText="1"/>
    </xf>
    <xf numFmtId="0" fontId="1" fillId="60" borderId="0" applyNumberFormat="0" applyBorder="0" applyProtection="0">
      <alignment wrapText="1"/>
    </xf>
    <xf numFmtId="0" fontId="1" fillId="60" borderId="0" applyNumberFormat="0" applyBorder="0" applyProtection="0">
      <alignment wrapText="1"/>
    </xf>
    <xf numFmtId="0" fontId="1" fillId="60" borderId="0" applyNumberFormat="0" applyBorder="0" applyProtection="0">
      <alignment wrapText="1"/>
    </xf>
    <xf numFmtId="0" fontId="1" fillId="60" borderId="0" applyNumberFormat="0" applyBorder="0" applyProtection="0">
      <alignment wrapText="1"/>
    </xf>
    <xf numFmtId="0" fontId="1" fillId="60" borderId="0" applyNumberFormat="0" applyBorder="0" applyProtection="0">
      <alignment wrapText="1"/>
    </xf>
    <xf numFmtId="0" fontId="1" fillId="60" borderId="0" applyNumberFormat="0" applyBorder="0" applyProtection="0">
      <alignment wrapText="1"/>
    </xf>
    <xf numFmtId="0" fontId="1" fillId="60" borderId="0" applyNumberFormat="0" applyBorder="0" applyProtection="0">
      <alignment wrapText="1"/>
    </xf>
    <xf numFmtId="0" fontId="1" fillId="60" borderId="0" applyNumberFormat="0" applyBorder="0" applyProtection="0">
      <alignment wrapText="1"/>
    </xf>
    <xf numFmtId="0" fontId="1" fillId="60" borderId="0" applyNumberFormat="0" applyBorder="0" applyProtection="0">
      <alignment wrapText="1"/>
    </xf>
    <xf numFmtId="0" fontId="1" fillId="60" borderId="0" applyNumberFormat="0" applyBorder="0" applyProtection="0">
      <alignment wrapText="1"/>
    </xf>
    <xf numFmtId="0" fontId="1" fillId="60" borderId="0" applyNumberFormat="0" applyBorder="0" applyProtection="0">
      <alignment wrapText="1"/>
    </xf>
    <xf numFmtId="0" fontId="1" fillId="60" borderId="0" applyNumberFormat="0" applyBorder="0" applyProtection="0">
      <alignment wrapText="1"/>
    </xf>
    <xf numFmtId="0" fontId="1" fillId="60" borderId="0" applyNumberFormat="0" applyBorder="0" applyProtection="0">
      <alignment wrapText="1"/>
    </xf>
    <xf numFmtId="0" fontId="1" fillId="60" borderId="0" applyNumberFormat="0" applyBorder="0" applyProtection="0">
      <alignment wrapText="1"/>
    </xf>
    <xf numFmtId="0" fontId="1" fillId="60" borderId="0" applyNumberFormat="0" applyBorder="0" applyProtection="0">
      <alignment wrapText="1"/>
    </xf>
    <xf numFmtId="0" fontId="1" fillId="60" borderId="0" applyNumberFormat="0" applyBorder="0" applyProtection="0">
      <alignment wrapText="1"/>
    </xf>
    <xf numFmtId="0" fontId="1" fillId="60" borderId="0" applyNumberFormat="0" applyBorder="0" applyProtection="0">
      <alignment wrapText="1"/>
    </xf>
    <xf numFmtId="0" fontId="1" fillId="60" borderId="0" applyNumberFormat="0" applyBorder="0" applyProtection="0">
      <alignment wrapText="1"/>
    </xf>
    <xf numFmtId="0" fontId="1" fillId="60" borderId="0" applyNumberFormat="0" applyBorder="0" applyProtection="0">
      <alignment wrapText="1"/>
    </xf>
    <xf numFmtId="0" fontId="1" fillId="60" borderId="0" applyNumberFormat="0" applyBorder="0" applyProtection="0">
      <alignment wrapText="1"/>
    </xf>
    <xf numFmtId="0" fontId="1" fillId="60" borderId="0" applyNumberFormat="0" applyBorder="0" applyProtection="0">
      <alignment wrapText="1"/>
    </xf>
    <xf numFmtId="0" fontId="1" fillId="60" borderId="0" applyNumberFormat="0" applyBorder="0" applyProtection="0">
      <alignment wrapText="1"/>
    </xf>
    <xf numFmtId="0" fontId="1" fillId="60" borderId="0" applyNumberFormat="0" applyBorder="0" applyProtection="0">
      <alignment wrapText="1"/>
    </xf>
    <xf numFmtId="0" fontId="1" fillId="60" borderId="0" applyNumberFormat="0" applyBorder="0" applyProtection="0">
      <alignment wrapText="1"/>
    </xf>
    <xf numFmtId="0" fontId="1" fillId="60" borderId="0" applyNumberFormat="0" applyBorder="0" applyProtection="0">
      <alignment wrapText="1"/>
    </xf>
    <xf numFmtId="0" fontId="1" fillId="60" borderId="0" applyNumberFormat="0" applyBorder="0" applyProtection="0">
      <alignment wrapText="1"/>
    </xf>
    <xf numFmtId="0" fontId="1" fillId="60" borderId="0" applyNumberFormat="0" applyBorder="0" applyProtection="0">
      <alignment wrapText="1"/>
    </xf>
    <xf numFmtId="0" fontId="1" fillId="60" borderId="0" applyNumberFormat="0" applyBorder="0" applyProtection="0">
      <alignment wrapText="1"/>
    </xf>
    <xf numFmtId="0" fontId="1" fillId="60" borderId="0" applyNumberFormat="0" applyBorder="0" applyProtection="0">
      <alignment wrapText="1"/>
    </xf>
    <xf numFmtId="0" fontId="1" fillId="60" borderId="0" applyNumberFormat="0" applyBorder="0" applyProtection="0">
      <alignment wrapText="1"/>
    </xf>
    <xf numFmtId="0" fontId="1" fillId="60" borderId="0" applyNumberFormat="0" applyBorder="0" applyProtection="0">
      <alignment wrapText="1"/>
    </xf>
    <xf numFmtId="0" fontId="1" fillId="60" borderId="0" applyNumberFormat="0" applyBorder="0" applyProtection="0">
      <alignment wrapText="1"/>
    </xf>
    <xf numFmtId="0" fontId="1" fillId="60" borderId="0" applyNumberFormat="0" applyBorder="0" applyProtection="0">
      <alignment wrapText="1"/>
    </xf>
    <xf numFmtId="0" fontId="1" fillId="60" borderId="0" applyNumberFormat="0" applyBorder="0" applyProtection="0">
      <alignment wrapText="1"/>
    </xf>
    <xf numFmtId="0" fontId="1" fillId="60" borderId="0" applyNumberFormat="0" applyBorder="0" applyProtection="0">
      <alignment wrapText="1"/>
    </xf>
    <xf numFmtId="0" fontId="1" fillId="60" borderId="0" applyNumberFormat="0" applyBorder="0" applyProtection="0">
      <alignment wrapText="1"/>
    </xf>
    <xf numFmtId="0" fontId="1" fillId="60" borderId="0" applyNumberFormat="0" applyBorder="0" applyProtection="0">
      <alignment wrapText="1"/>
    </xf>
    <xf numFmtId="0" fontId="1" fillId="60" borderId="0" applyNumberFormat="0" applyBorder="0" applyProtection="0">
      <alignment wrapText="1"/>
    </xf>
    <xf numFmtId="0" fontId="1" fillId="60" borderId="0" applyNumberFormat="0" applyBorder="0" applyProtection="0">
      <alignment wrapText="1"/>
    </xf>
    <xf numFmtId="0" fontId="1" fillId="60" borderId="0" applyNumberFormat="0" applyBorder="0" applyProtection="0">
      <alignment wrapText="1"/>
    </xf>
    <xf numFmtId="0" fontId="1" fillId="60" borderId="0" applyNumberFormat="0" applyBorder="0" applyProtection="0">
      <alignment wrapText="1"/>
    </xf>
    <xf numFmtId="0" fontId="1" fillId="60" borderId="0" applyNumberFormat="0" applyBorder="0" applyProtection="0">
      <alignment wrapText="1"/>
    </xf>
    <xf numFmtId="0" fontId="1" fillId="60" borderId="0" applyNumberFormat="0" applyBorder="0" applyProtection="0">
      <alignment wrapText="1"/>
    </xf>
    <xf numFmtId="0" fontId="1" fillId="60" borderId="0" applyNumberFormat="0" applyBorder="0" applyProtection="0">
      <alignment wrapText="1"/>
    </xf>
    <xf numFmtId="0" fontId="1" fillId="61" borderId="0" applyNumberFormat="0" applyBorder="0" applyAlignment="0" applyProtection="0"/>
    <xf numFmtId="0" fontId="1" fillId="61" borderId="0" applyNumberFormat="0" applyBorder="0" applyAlignment="0" applyProtection="0"/>
    <xf numFmtId="0" fontId="1" fillId="60" borderId="0" applyNumberFormat="0" applyBorder="0" applyProtection="0">
      <alignment wrapText="1"/>
    </xf>
    <xf numFmtId="0" fontId="1" fillId="60" borderId="0" applyNumberFormat="0" applyBorder="0" applyProtection="0">
      <alignment wrapText="1"/>
    </xf>
    <xf numFmtId="0" fontId="1" fillId="60" borderId="0" applyNumberFormat="0" applyBorder="0" applyProtection="0">
      <alignment wrapText="1"/>
    </xf>
    <xf numFmtId="0" fontId="1" fillId="60" borderId="0" applyNumberFormat="0" applyBorder="0" applyProtection="0">
      <alignment wrapText="1"/>
    </xf>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0" borderId="0" applyNumberFormat="0" applyBorder="0" applyProtection="0">
      <alignment wrapText="1"/>
    </xf>
    <xf numFmtId="0" fontId="1" fillId="60" borderId="0" applyNumberFormat="0" applyBorder="0" applyProtection="0">
      <alignment wrapText="1"/>
    </xf>
    <xf numFmtId="0" fontId="1" fillId="60" borderId="0" applyNumberFormat="0" applyBorder="0" applyProtection="0">
      <alignment wrapText="1"/>
    </xf>
    <xf numFmtId="0" fontId="1" fillId="60" borderId="0" applyNumberFormat="0" applyBorder="0" applyProtection="0">
      <alignment wrapText="1"/>
    </xf>
    <xf numFmtId="0" fontId="1" fillId="60" borderId="0" applyNumberFormat="0" applyBorder="0" applyProtection="0">
      <alignment wrapText="1"/>
    </xf>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0" borderId="0" applyNumberFormat="0" applyBorder="0" applyProtection="0">
      <alignment wrapText="1"/>
    </xf>
    <xf numFmtId="0" fontId="1" fillId="60" borderId="0" applyNumberFormat="0" applyBorder="0" applyProtection="0">
      <alignment wrapText="1"/>
    </xf>
    <xf numFmtId="0" fontId="1" fillId="60" borderId="0" applyNumberFormat="0" applyBorder="0" applyProtection="0">
      <alignment wrapText="1"/>
    </xf>
    <xf numFmtId="0" fontId="1" fillId="60" borderId="0" applyNumberFormat="0" applyBorder="0" applyProtection="0">
      <alignment wrapText="1"/>
    </xf>
    <xf numFmtId="0" fontId="1" fillId="60" borderId="0" applyNumberFormat="0" applyBorder="0" applyProtection="0">
      <alignment wrapText="1"/>
    </xf>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0" borderId="0" applyNumberFormat="0" applyBorder="0" applyProtection="0">
      <alignment wrapText="1"/>
    </xf>
    <xf numFmtId="0" fontId="1" fillId="60" borderId="0" applyNumberFormat="0" applyBorder="0" applyProtection="0">
      <alignment wrapText="1"/>
    </xf>
    <xf numFmtId="0" fontId="1" fillId="60" borderId="0" applyNumberFormat="0" applyBorder="0" applyProtection="0">
      <alignment wrapText="1"/>
    </xf>
    <xf numFmtId="0" fontId="1" fillId="60" borderId="0" applyNumberFormat="0" applyBorder="0" applyProtection="0">
      <alignment wrapText="1"/>
    </xf>
    <xf numFmtId="0" fontId="1" fillId="60" borderId="0" applyNumberFormat="0" applyBorder="0" applyProtection="0">
      <alignment wrapText="1"/>
    </xf>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0" borderId="0" applyNumberFormat="0" applyBorder="0" applyProtection="0">
      <alignment wrapText="1"/>
    </xf>
    <xf numFmtId="0" fontId="1" fillId="60" borderId="0" applyNumberFormat="0" applyBorder="0" applyProtection="0">
      <alignment wrapText="1"/>
    </xf>
    <xf numFmtId="0" fontId="1" fillId="60" borderId="0" applyNumberFormat="0" applyBorder="0" applyProtection="0">
      <alignment wrapText="1"/>
    </xf>
    <xf numFmtId="0" fontId="1" fillId="60" borderId="0" applyNumberFormat="0" applyBorder="0" applyProtection="0">
      <alignment wrapText="1"/>
    </xf>
    <xf numFmtId="0" fontId="1" fillId="60" borderId="0" applyNumberFormat="0" applyBorder="0" applyProtection="0">
      <alignment wrapText="1"/>
    </xf>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0" borderId="0" applyNumberFormat="0" applyBorder="0" applyProtection="0">
      <alignment wrapText="1"/>
    </xf>
    <xf numFmtId="0" fontId="1" fillId="60" borderId="0" applyNumberFormat="0" applyBorder="0" applyProtection="0">
      <alignment wrapText="1"/>
    </xf>
    <xf numFmtId="0" fontId="1" fillId="60" borderId="0" applyNumberFormat="0" applyBorder="0" applyProtection="0">
      <alignment wrapText="1"/>
    </xf>
    <xf numFmtId="0" fontId="1" fillId="60" borderId="0" applyNumberFormat="0" applyBorder="0" applyProtection="0">
      <alignment wrapText="1"/>
    </xf>
    <xf numFmtId="0" fontId="1" fillId="60" borderId="0" applyNumberFormat="0" applyBorder="0" applyProtection="0">
      <alignment wrapText="1"/>
    </xf>
    <xf numFmtId="0" fontId="1" fillId="61" borderId="0" applyNumberFormat="0" applyBorder="0" applyAlignment="0" applyProtection="0"/>
    <xf numFmtId="0" fontId="1" fillId="61" borderId="0" applyNumberFormat="0" applyBorder="0" applyAlignment="0" applyProtection="0"/>
    <xf numFmtId="0" fontId="1" fillId="60" borderId="0" applyNumberFormat="0" applyBorder="0" applyProtection="0">
      <alignment wrapText="1"/>
    </xf>
    <xf numFmtId="0" fontId="1" fillId="60" borderId="0" applyNumberFormat="0" applyBorder="0" applyProtection="0">
      <alignment wrapText="1"/>
    </xf>
    <xf numFmtId="0" fontId="1" fillId="60" borderId="0" applyNumberFormat="0" applyBorder="0" applyProtection="0">
      <alignment wrapText="1"/>
    </xf>
    <xf numFmtId="0" fontId="1" fillId="60" borderId="0" applyNumberFormat="0" applyBorder="0" applyProtection="0">
      <alignment wrapText="1"/>
    </xf>
    <xf numFmtId="0" fontId="1" fillId="60" borderId="0" applyNumberFormat="0" applyBorder="0" applyProtection="0">
      <alignment wrapText="1"/>
    </xf>
    <xf numFmtId="0" fontId="1" fillId="60" borderId="0" applyNumberFormat="0" applyBorder="0" applyProtection="0">
      <alignment wrapText="1"/>
    </xf>
    <xf numFmtId="0" fontId="1" fillId="60" borderId="0" applyNumberFormat="0" applyBorder="0" applyProtection="0">
      <alignment wrapText="1"/>
    </xf>
    <xf numFmtId="0" fontId="1" fillId="60" borderId="0" applyNumberFormat="0" applyBorder="0" applyProtection="0">
      <alignment wrapText="1"/>
    </xf>
    <xf numFmtId="0" fontId="1" fillId="60" borderId="0" applyNumberFormat="0" applyBorder="0" applyProtection="0">
      <alignment wrapText="1"/>
    </xf>
    <xf numFmtId="0" fontId="1" fillId="60" borderId="0" applyNumberFormat="0" applyBorder="0" applyProtection="0">
      <alignment wrapText="1"/>
    </xf>
    <xf numFmtId="0" fontId="1" fillId="62" borderId="0" applyNumberFormat="0" applyBorder="0" applyProtection="0">
      <alignment wrapText="1"/>
    </xf>
    <xf numFmtId="0" fontId="1" fillId="62" borderId="0" applyNumberFormat="0" applyBorder="0" applyProtection="0">
      <alignment wrapText="1"/>
    </xf>
    <xf numFmtId="0" fontId="1" fillId="62" borderId="0" applyNumberFormat="0" applyBorder="0" applyProtection="0">
      <alignment wrapText="1"/>
    </xf>
    <xf numFmtId="0" fontId="1" fillId="62" borderId="0" applyNumberFormat="0" applyBorder="0" applyProtection="0">
      <alignment wrapText="1"/>
    </xf>
    <xf numFmtId="0" fontId="1" fillId="62" borderId="0" applyNumberFormat="0" applyBorder="0" applyProtection="0">
      <alignment wrapText="1"/>
    </xf>
    <xf numFmtId="0" fontId="1" fillId="62" borderId="0" applyNumberFormat="0" applyBorder="0" applyProtection="0">
      <alignment wrapText="1"/>
    </xf>
    <xf numFmtId="0" fontId="1" fillId="62" borderId="0" applyNumberFormat="0" applyBorder="0" applyProtection="0">
      <alignment wrapText="1"/>
    </xf>
    <xf numFmtId="0" fontId="1" fillId="62" borderId="0" applyNumberFormat="0" applyBorder="0" applyProtection="0">
      <alignment wrapText="1"/>
    </xf>
    <xf numFmtId="0" fontId="1" fillId="62" borderId="0" applyNumberFormat="0" applyBorder="0" applyProtection="0">
      <alignment wrapText="1"/>
    </xf>
    <xf numFmtId="0" fontId="1" fillId="62" borderId="0" applyNumberFormat="0" applyBorder="0" applyProtection="0">
      <alignment wrapText="1"/>
    </xf>
    <xf numFmtId="0" fontId="1" fillId="62" borderId="0" applyNumberFormat="0" applyBorder="0" applyProtection="0">
      <alignment wrapText="1"/>
    </xf>
    <xf numFmtId="0" fontId="1" fillId="62" borderId="0" applyNumberFormat="0" applyBorder="0" applyProtection="0">
      <alignment wrapText="1"/>
    </xf>
    <xf numFmtId="0" fontId="1" fillId="62" borderId="0" applyNumberFormat="0" applyBorder="0" applyProtection="0">
      <alignment wrapText="1"/>
    </xf>
    <xf numFmtId="0" fontId="1" fillId="62" borderId="0" applyNumberFormat="0" applyBorder="0" applyProtection="0">
      <alignment wrapText="1"/>
    </xf>
    <xf numFmtId="0" fontId="1" fillId="62" borderId="0" applyNumberFormat="0" applyBorder="0" applyProtection="0">
      <alignment wrapText="1"/>
    </xf>
    <xf numFmtId="0" fontId="1" fillId="62" borderId="0" applyNumberFormat="0" applyBorder="0" applyProtection="0">
      <alignment wrapText="1"/>
    </xf>
    <xf numFmtId="0" fontId="1" fillId="62" borderId="0" applyNumberFormat="0" applyBorder="0" applyProtection="0">
      <alignment wrapText="1"/>
    </xf>
    <xf numFmtId="0" fontId="1" fillId="62" borderId="0" applyNumberFormat="0" applyBorder="0" applyProtection="0">
      <alignment wrapText="1"/>
    </xf>
    <xf numFmtId="0" fontId="1" fillId="62" borderId="0" applyNumberFormat="0" applyBorder="0" applyProtection="0">
      <alignment wrapText="1"/>
    </xf>
    <xf numFmtId="0" fontId="1" fillId="62" borderId="0" applyNumberFormat="0" applyBorder="0" applyProtection="0">
      <alignment wrapText="1"/>
    </xf>
    <xf numFmtId="0" fontId="1" fillId="62" borderId="0" applyNumberFormat="0" applyBorder="0" applyProtection="0">
      <alignment wrapText="1"/>
    </xf>
    <xf numFmtId="0" fontId="1" fillId="62" borderId="0" applyNumberFormat="0" applyBorder="0" applyProtection="0">
      <alignment wrapText="1"/>
    </xf>
    <xf numFmtId="0" fontId="1" fillId="62" borderId="0" applyNumberFormat="0" applyBorder="0" applyProtection="0">
      <alignment wrapText="1"/>
    </xf>
    <xf numFmtId="0" fontId="1" fillId="62" borderId="0" applyNumberFormat="0" applyBorder="0" applyProtection="0">
      <alignment wrapText="1"/>
    </xf>
    <xf numFmtId="0" fontId="1" fillId="62" borderId="0" applyNumberFormat="0" applyBorder="0" applyProtection="0">
      <alignment wrapText="1"/>
    </xf>
    <xf numFmtId="0" fontId="1" fillId="62" borderId="0" applyNumberFormat="0" applyBorder="0" applyProtection="0">
      <alignment wrapText="1"/>
    </xf>
    <xf numFmtId="0" fontId="1" fillId="62" borderId="0" applyNumberFormat="0" applyBorder="0" applyProtection="0">
      <alignment wrapText="1"/>
    </xf>
    <xf numFmtId="0" fontId="1" fillId="62" borderId="0" applyNumberFormat="0" applyBorder="0" applyProtection="0">
      <alignment wrapText="1"/>
    </xf>
    <xf numFmtId="0" fontId="1" fillId="62" borderId="0" applyNumberFormat="0" applyBorder="0" applyProtection="0">
      <alignment wrapText="1"/>
    </xf>
    <xf numFmtId="0" fontId="1" fillId="62" borderId="0" applyNumberFormat="0" applyBorder="0" applyProtection="0">
      <alignment wrapText="1"/>
    </xf>
    <xf numFmtId="0" fontId="1" fillId="62" borderId="0" applyNumberFormat="0" applyBorder="0" applyProtection="0">
      <alignment wrapText="1"/>
    </xf>
    <xf numFmtId="0" fontId="1" fillId="62" borderId="0" applyNumberFormat="0" applyBorder="0" applyProtection="0">
      <alignment wrapText="1"/>
    </xf>
    <xf numFmtId="0" fontId="1" fillId="62" borderId="0" applyNumberFormat="0" applyBorder="0" applyProtection="0">
      <alignment wrapText="1"/>
    </xf>
    <xf numFmtId="0" fontId="1" fillId="62" borderId="0" applyNumberFormat="0" applyBorder="0" applyProtection="0">
      <alignment wrapText="1"/>
    </xf>
    <xf numFmtId="0" fontId="1" fillId="62" borderId="0" applyNumberFormat="0" applyBorder="0" applyProtection="0">
      <alignment wrapText="1"/>
    </xf>
    <xf numFmtId="0" fontId="1" fillId="62" borderId="0" applyNumberFormat="0" applyBorder="0" applyProtection="0">
      <alignment wrapText="1"/>
    </xf>
    <xf numFmtId="0" fontId="1" fillId="62" borderId="0" applyNumberFormat="0" applyBorder="0" applyProtection="0">
      <alignment wrapText="1"/>
    </xf>
    <xf numFmtId="0" fontId="1" fillId="62" borderId="0" applyNumberFormat="0" applyBorder="0" applyProtection="0">
      <alignment wrapText="1"/>
    </xf>
    <xf numFmtId="0" fontId="1" fillId="62" borderId="0" applyNumberFormat="0" applyBorder="0" applyProtection="0">
      <alignment wrapText="1"/>
    </xf>
    <xf numFmtId="0" fontId="1" fillId="62" borderId="0" applyNumberFormat="0" applyBorder="0" applyProtection="0">
      <alignment wrapText="1"/>
    </xf>
    <xf numFmtId="0" fontId="1" fillId="62" borderId="0" applyNumberFormat="0" applyBorder="0" applyProtection="0">
      <alignment wrapText="1"/>
    </xf>
    <xf numFmtId="0" fontId="1" fillId="62" borderId="0" applyNumberFormat="0" applyBorder="0" applyProtection="0">
      <alignment wrapText="1"/>
    </xf>
    <xf numFmtId="0" fontId="1" fillId="62" borderId="0" applyNumberFormat="0" applyBorder="0" applyProtection="0">
      <alignment wrapText="1"/>
    </xf>
    <xf numFmtId="0" fontId="1" fillId="62" borderId="0" applyNumberFormat="0" applyBorder="0" applyProtection="0">
      <alignment wrapText="1"/>
    </xf>
    <xf numFmtId="0" fontId="1" fillId="62" borderId="0" applyNumberFormat="0" applyBorder="0" applyProtection="0">
      <alignment wrapText="1"/>
    </xf>
    <xf numFmtId="0" fontId="1" fillId="63" borderId="0" applyNumberFormat="0" applyBorder="0" applyAlignment="0" applyProtection="0"/>
    <xf numFmtId="0" fontId="1" fillId="63" borderId="0" applyNumberFormat="0" applyBorder="0" applyAlignment="0" applyProtection="0"/>
    <xf numFmtId="0" fontId="1" fillId="62" borderId="0" applyNumberFormat="0" applyBorder="0" applyProtection="0">
      <alignment wrapText="1"/>
    </xf>
    <xf numFmtId="0" fontId="1" fillId="62" borderId="0" applyNumberFormat="0" applyBorder="0" applyProtection="0">
      <alignment wrapText="1"/>
    </xf>
    <xf numFmtId="0" fontId="1" fillId="62" borderId="0" applyNumberFormat="0" applyBorder="0" applyProtection="0">
      <alignment wrapText="1"/>
    </xf>
    <xf numFmtId="0" fontId="1" fillId="62" borderId="0" applyNumberFormat="0" applyBorder="0" applyProtection="0">
      <alignment wrapText="1"/>
    </xf>
    <xf numFmtId="0" fontId="1" fillId="63" borderId="0" applyNumberFormat="0" applyBorder="0" applyAlignment="0" applyProtection="0"/>
    <xf numFmtId="0" fontId="1" fillId="63" borderId="0" applyNumberFormat="0" applyBorder="0" applyAlignment="0" applyProtection="0"/>
    <xf numFmtId="0" fontId="1" fillId="63" borderId="0" applyNumberFormat="0" applyBorder="0" applyAlignment="0" applyProtection="0"/>
    <xf numFmtId="0" fontId="1" fillId="63" borderId="0" applyNumberFormat="0" applyBorder="0" applyAlignment="0" applyProtection="0"/>
    <xf numFmtId="0" fontId="1" fillId="63" borderId="0" applyNumberFormat="0" applyBorder="0" applyAlignment="0" applyProtection="0"/>
    <xf numFmtId="0" fontId="1" fillId="63" borderId="0" applyNumberFormat="0" applyBorder="0" applyAlignment="0" applyProtection="0"/>
    <xf numFmtId="0" fontId="1" fillId="63" borderId="0" applyNumberFormat="0" applyBorder="0" applyAlignment="0" applyProtection="0"/>
    <xf numFmtId="0" fontId="1" fillId="63" borderId="0" applyNumberFormat="0" applyBorder="0" applyAlignment="0" applyProtection="0"/>
    <xf numFmtId="0" fontId="1" fillId="63" borderId="0" applyNumberFormat="0" applyBorder="0" applyAlignment="0" applyProtection="0"/>
    <xf numFmtId="0" fontId="1" fillId="63" borderId="0" applyNumberFormat="0" applyBorder="0" applyAlignment="0" applyProtection="0"/>
    <xf numFmtId="0" fontId="1" fillId="63" borderId="0" applyNumberFormat="0" applyBorder="0" applyAlignment="0" applyProtection="0"/>
    <xf numFmtId="0" fontId="1" fillId="63" borderId="0" applyNumberFormat="0" applyBorder="0" applyAlignment="0" applyProtection="0"/>
    <xf numFmtId="0" fontId="1" fillId="62" borderId="0" applyNumberFormat="0" applyBorder="0" applyProtection="0">
      <alignment wrapText="1"/>
    </xf>
    <xf numFmtId="0" fontId="1" fillId="62" borderId="0" applyNumberFormat="0" applyBorder="0" applyProtection="0">
      <alignment wrapText="1"/>
    </xf>
    <xf numFmtId="0" fontId="1" fillId="62" borderId="0" applyNumberFormat="0" applyBorder="0" applyProtection="0">
      <alignment wrapText="1"/>
    </xf>
    <xf numFmtId="0" fontId="1" fillId="62" borderId="0" applyNumberFormat="0" applyBorder="0" applyProtection="0">
      <alignment wrapText="1"/>
    </xf>
    <xf numFmtId="0" fontId="1" fillId="62" borderId="0" applyNumberFormat="0" applyBorder="0" applyProtection="0">
      <alignment wrapText="1"/>
    </xf>
    <xf numFmtId="0" fontId="1" fillId="63" borderId="0" applyNumberFormat="0" applyBorder="0" applyAlignment="0" applyProtection="0"/>
    <xf numFmtId="0" fontId="1" fillId="63" borderId="0" applyNumberFormat="0" applyBorder="0" applyAlignment="0" applyProtection="0"/>
    <xf numFmtId="0" fontId="1" fillId="63" borderId="0" applyNumberFormat="0" applyBorder="0" applyAlignment="0" applyProtection="0"/>
    <xf numFmtId="0" fontId="1" fillId="63" borderId="0" applyNumberFormat="0" applyBorder="0" applyAlignment="0" applyProtection="0"/>
    <xf numFmtId="0" fontId="1" fillId="63" borderId="0" applyNumberFormat="0" applyBorder="0" applyAlignment="0" applyProtection="0"/>
    <xf numFmtId="0" fontId="1" fillId="63" borderId="0" applyNumberFormat="0" applyBorder="0" applyAlignment="0" applyProtection="0"/>
    <xf numFmtId="0" fontId="1" fillId="63" borderId="0" applyNumberFormat="0" applyBorder="0" applyAlignment="0" applyProtection="0"/>
    <xf numFmtId="0" fontId="1" fillId="63" borderId="0" applyNumberFormat="0" applyBorder="0" applyAlignment="0" applyProtection="0"/>
    <xf numFmtId="0" fontId="1" fillId="63" borderId="0" applyNumberFormat="0" applyBorder="0" applyAlignment="0" applyProtection="0"/>
    <xf numFmtId="0" fontId="1" fillId="63" borderId="0" applyNumberFormat="0" applyBorder="0" applyAlignment="0" applyProtection="0"/>
    <xf numFmtId="0" fontId="1" fillId="62" borderId="0" applyNumberFormat="0" applyBorder="0" applyProtection="0">
      <alignment wrapText="1"/>
    </xf>
    <xf numFmtId="0" fontId="1" fillId="62" borderId="0" applyNumberFormat="0" applyBorder="0" applyProtection="0">
      <alignment wrapText="1"/>
    </xf>
    <xf numFmtId="0" fontId="1" fillId="62" borderId="0" applyNumberFormat="0" applyBorder="0" applyProtection="0">
      <alignment wrapText="1"/>
    </xf>
    <xf numFmtId="0" fontId="1" fillId="62" borderId="0" applyNumberFormat="0" applyBorder="0" applyProtection="0">
      <alignment wrapText="1"/>
    </xf>
    <xf numFmtId="0" fontId="1" fillId="62" borderId="0" applyNumberFormat="0" applyBorder="0" applyProtection="0">
      <alignment wrapText="1"/>
    </xf>
    <xf numFmtId="0" fontId="1" fillId="63" borderId="0" applyNumberFormat="0" applyBorder="0" applyAlignment="0" applyProtection="0"/>
    <xf numFmtId="0" fontId="1" fillId="63" borderId="0" applyNumberFormat="0" applyBorder="0" applyAlignment="0" applyProtection="0"/>
    <xf numFmtId="0" fontId="1" fillId="63" borderId="0" applyNumberFormat="0" applyBorder="0" applyAlignment="0" applyProtection="0"/>
    <xf numFmtId="0" fontId="1" fillId="63" borderId="0" applyNumberFormat="0" applyBorder="0" applyAlignment="0" applyProtection="0"/>
    <xf numFmtId="0" fontId="1" fillId="63" borderId="0" applyNumberFormat="0" applyBorder="0" applyAlignment="0" applyProtection="0"/>
    <xf numFmtId="0" fontId="1" fillId="63" borderId="0" applyNumberFormat="0" applyBorder="0" applyAlignment="0" applyProtection="0"/>
    <xf numFmtId="0" fontId="1" fillId="63" borderId="0" applyNumberFormat="0" applyBorder="0" applyAlignment="0" applyProtection="0"/>
    <xf numFmtId="0" fontId="1" fillId="63" borderId="0" applyNumberFormat="0" applyBorder="0" applyAlignment="0" applyProtection="0"/>
    <xf numFmtId="0" fontId="1" fillId="63" borderId="0" applyNumberFormat="0" applyBorder="0" applyAlignment="0" applyProtection="0"/>
    <xf numFmtId="0" fontId="1" fillId="63" borderId="0" applyNumberFormat="0" applyBorder="0" applyAlignment="0" applyProtection="0"/>
    <xf numFmtId="0" fontId="1" fillId="62" borderId="0" applyNumberFormat="0" applyBorder="0" applyProtection="0">
      <alignment wrapText="1"/>
    </xf>
    <xf numFmtId="0" fontId="1" fillId="62" borderId="0" applyNumberFormat="0" applyBorder="0" applyProtection="0">
      <alignment wrapText="1"/>
    </xf>
    <xf numFmtId="0" fontId="1" fillId="62" borderId="0" applyNumberFormat="0" applyBorder="0" applyProtection="0">
      <alignment wrapText="1"/>
    </xf>
    <xf numFmtId="0" fontId="1" fillId="62" borderId="0" applyNumberFormat="0" applyBorder="0" applyProtection="0">
      <alignment wrapText="1"/>
    </xf>
    <xf numFmtId="0" fontId="1" fillId="62" borderId="0" applyNumberFormat="0" applyBorder="0" applyProtection="0">
      <alignment wrapText="1"/>
    </xf>
    <xf numFmtId="0" fontId="1" fillId="63" borderId="0" applyNumberFormat="0" applyBorder="0" applyAlignment="0" applyProtection="0"/>
    <xf numFmtId="0" fontId="1" fillId="63" borderId="0" applyNumberFormat="0" applyBorder="0" applyAlignment="0" applyProtection="0"/>
    <xf numFmtId="0" fontId="1" fillId="63" borderId="0" applyNumberFormat="0" applyBorder="0" applyAlignment="0" applyProtection="0"/>
    <xf numFmtId="0" fontId="1" fillId="63" borderId="0" applyNumberFormat="0" applyBorder="0" applyAlignment="0" applyProtection="0"/>
    <xf numFmtId="0" fontId="1" fillId="63" borderId="0" applyNumberFormat="0" applyBorder="0" applyAlignment="0" applyProtection="0"/>
    <xf numFmtId="0" fontId="1" fillId="63" borderId="0" applyNumberFormat="0" applyBorder="0" applyAlignment="0" applyProtection="0"/>
    <xf numFmtId="0" fontId="1" fillId="63" borderId="0" applyNumberFormat="0" applyBorder="0" applyAlignment="0" applyProtection="0"/>
    <xf numFmtId="0" fontId="1" fillId="63" borderId="0" applyNumberFormat="0" applyBorder="0" applyAlignment="0" applyProtection="0"/>
    <xf numFmtId="0" fontId="1" fillId="63" borderId="0" applyNumberFormat="0" applyBorder="0" applyAlignment="0" applyProtection="0"/>
    <xf numFmtId="0" fontId="1" fillId="63" borderId="0" applyNumberFormat="0" applyBorder="0" applyAlignment="0" applyProtection="0"/>
    <xf numFmtId="0" fontId="1" fillId="62" borderId="0" applyNumberFormat="0" applyBorder="0" applyProtection="0">
      <alignment wrapText="1"/>
    </xf>
    <xf numFmtId="0" fontId="1" fillId="62" borderId="0" applyNumberFormat="0" applyBorder="0" applyProtection="0">
      <alignment wrapText="1"/>
    </xf>
    <xf numFmtId="0" fontId="1" fillId="62" borderId="0" applyNumberFormat="0" applyBorder="0" applyProtection="0">
      <alignment wrapText="1"/>
    </xf>
    <xf numFmtId="0" fontId="1" fillId="62" borderId="0" applyNumberFormat="0" applyBorder="0" applyProtection="0">
      <alignment wrapText="1"/>
    </xf>
    <xf numFmtId="0" fontId="1" fillId="62" borderId="0" applyNumberFormat="0" applyBorder="0" applyProtection="0">
      <alignment wrapText="1"/>
    </xf>
    <xf numFmtId="0" fontId="1" fillId="63" borderId="0" applyNumberFormat="0" applyBorder="0" applyAlignment="0" applyProtection="0"/>
    <xf numFmtId="0" fontId="1" fillId="63" borderId="0" applyNumberFormat="0" applyBorder="0" applyAlignment="0" applyProtection="0"/>
    <xf numFmtId="0" fontId="1" fillId="63" borderId="0" applyNumberFormat="0" applyBorder="0" applyAlignment="0" applyProtection="0"/>
    <xf numFmtId="0" fontId="1" fillId="63" borderId="0" applyNumberFormat="0" applyBorder="0" applyAlignment="0" applyProtection="0"/>
    <xf numFmtId="0" fontId="1" fillId="63" borderId="0" applyNumberFormat="0" applyBorder="0" applyAlignment="0" applyProtection="0"/>
    <xf numFmtId="0" fontId="1" fillId="63" borderId="0" applyNumberFormat="0" applyBorder="0" applyAlignment="0" applyProtection="0"/>
    <xf numFmtId="0" fontId="1" fillId="63" borderId="0" applyNumberFormat="0" applyBorder="0" applyAlignment="0" applyProtection="0"/>
    <xf numFmtId="0" fontId="1" fillId="63" borderId="0" applyNumberFormat="0" applyBorder="0" applyAlignment="0" applyProtection="0"/>
    <xf numFmtId="0" fontId="1" fillId="63" borderId="0" applyNumberFormat="0" applyBorder="0" applyAlignment="0" applyProtection="0"/>
    <xf numFmtId="0" fontId="1" fillId="63" borderId="0" applyNumberFormat="0" applyBorder="0" applyAlignment="0" applyProtection="0"/>
    <xf numFmtId="0" fontId="1" fillId="62" borderId="0" applyNumberFormat="0" applyBorder="0" applyProtection="0">
      <alignment wrapText="1"/>
    </xf>
    <xf numFmtId="0" fontId="1" fillId="62" borderId="0" applyNumberFormat="0" applyBorder="0" applyProtection="0">
      <alignment wrapText="1"/>
    </xf>
    <xf numFmtId="0" fontId="1" fillId="62" borderId="0" applyNumberFormat="0" applyBorder="0" applyProtection="0">
      <alignment wrapText="1"/>
    </xf>
    <xf numFmtId="0" fontId="1" fillId="62" borderId="0" applyNumberFormat="0" applyBorder="0" applyProtection="0">
      <alignment wrapText="1"/>
    </xf>
    <xf numFmtId="0" fontId="1" fillId="62" borderId="0" applyNumberFormat="0" applyBorder="0" applyProtection="0">
      <alignment wrapText="1"/>
    </xf>
    <xf numFmtId="0" fontId="1" fillId="63" borderId="0" applyNumberFormat="0" applyBorder="0" applyAlignment="0" applyProtection="0"/>
    <xf numFmtId="0" fontId="1" fillId="63" borderId="0" applyNumberFormat="0" applyBorder="0" applyAlignment="0" applyProtection="0"/>
    <xf numFmtId="0" fontId="1" fillId="62" borderId="0" applyNumberFormat="0" applyBorder="0" applyProtection="0">
      <alignment wrapText="1"/>
    </xf>
    <xf numFmtId="0" fontId="1" fillId="62" borderId="0" applyNumberFormat="0" applyBorder="0" applyProtection="0">
      <alignment wrapText="1"/>
    </xf>
    <xf numFmtId="0" fontId="1" fillId="62" borderId="0" applyNumberFormat="0" applyBorder="0" applyProtection="0">
      <alignment wrapText="1"/>
    </xf>
    <xf numFmtId="0" fontId="1" fillId="62" borderId="0" applyNumberFormat="0" applyBorder="0" applyProtection="0">
      <alignment wrapText="1"/>
    </xf>
    <xf numFmtId="0" fontId="1" fillId="62" borderId="0" applyNumberFormat="0" applyBorder="0" applyProtection="0">
      <alignment wrapText="1"/>
    </xf>
    <xf numFmtId="0" fontId="1" fillId="62" borderId="0" applyNumberFormat="0" applyBorder="0" applyProtection="0">
      <alignment wrapText="1"/>
    </xf>
    <xf numFmtId="0" fontId="1" fillId="62" borderId="0" applyNumberFormat="0" applyBorder="0" applyProtection="0">
      <alignment wrapText="1"/>
    </xf>
    <xf numFmtId="0" fontId="1" fillId="62" borderId="0" applyNumberFormat="0" applyBorder="0" applyProtection="0">
      <alignment wrapText="1"/>
    </xf>
    <xf numFmtId="0" fontId="1" fillId="62" borderId="0" applyNumberFormat="0" applyBorder="0" applyProtection="0">
      <alignment wrapText="1"/>
    </xf>
    <xf numFmtId="0" fontId="1" fillId="6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3" borderId="0" applyNumberFormat="0" applyBorder="0" applyAlignment="0" applyProtection="0"/>
    <xf numFmtId="0" fontId="1" fillId="53" borderId="0" applyNumberFormat="0" applyBorder="0" applyAlignment="0" applyProtection="0"/>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3" borderId="0" applyNumberFormat="0" applyBorder="0" applyAlignment="0" applyProtection="0"/>
    <xf numFmtId="0" fontId="1" fillId="53" borderId="0" applyNumberFormat="0" applyBorder="0" applyAlignment="0" applyProtection="0"/>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2"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9" borderId="0" applyNumberFormat="0" applyBorder="0" applyAlignment="0" applyProtection="0"/>
    <xf numFmtId="0" fontId="1" fillId="59" borderId="0" applyNumberFormat="0" applyBorder="0" applyAlignment="0" applyProtection="0"/>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9" borderId="0" applyNumberFormat="0" applyBorder="0" applyAlignment="0" applyProtection="0"/>
    <xf numFmtId="0" fontId="1" fillId="59" borderId="0" applyNumberFormat="0" applyBorder="0" applyAlignment="0" applyProtection="0"/>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58" borderId="0" applyNumberFormat="0" applyBorder="0" applyProtection="0">
      <alignment wrapText="1"/>
    </xf>
    <xf numFmtId="0" fontId="1" fillId="64" borderId="0" applyNumberFormat="0" applyBorder="0" applyProtection="0">
      <alignment wrapText="1"/>
    </xf>
    <xf numFmtId="0" fontId="1" fillId="64" borderId="0" applyNumberFormat="0" applyBorder="0" applyProtection="0">
      <alignment wrapText="1"/>
    </xf>
    <xf numFmtId="0" fontId="1" fillId="64" borderId="0" applyNumberFormat="0" applyBorder="0" applyProtection="0">
      <alignment wrapText="1"/>
    </xf>
    <xf numFmtId="0" fontId="1" fillId="64" borderId="0" applyNumberFormat="0" applyBorder="0" applyProtection="0">
      <alignment wrapText="1"/>
    </xf>
    <xf numFmtId="0" fontId="1" fillId="64" borderId="0" applyNumberFormat="0" applyBorder="0" applyProtection="0">
      <alignment wrapText="1"/>
    </xf>
    <xf numFmtId="0" fontId="1" fillId="64" borderId="0" applyNumberFormat="0" applyBorder="0" applyProtection="0">
      <alignment wrapText="1"/>
    </xf>
    <xf numFmtId="0" fontId="1" fillId="64" borderId="0" applyNumberFormat="0" applyBorder="0" applyProtection="0">
      <alignment wrapText="1"/>
    </xf>
    <xf numFmtId="0" fontId="1" fillId="64" borderId="0" applyNumberFormat="0" applyBorder="0" applyProtection="0">
      <alignment wrapText="1"/>
    </xf>
    <xf numFmtId="0" fontId="1" fillId="64" borderId="0" applyNumberFormat="0" applyBorder="0" applyProtection="0">
      <alignment wrapText="1"/>
    </xf>
    <xf numFmtId="0" fontId="1" fillId="64" borderId="0" applyNumberFormat="0" applyBorder="0" applyProtection="0">
      <alignment wrapText="1"/>
    </xf>
    <xf numFmtId="0" fontId="1" fillId="64" borderId="0" applyNumberFormat="0" applyBorder="0" applyProtection="0">
      <alignment wrapText="1"/>
    </xf>
    <xf numFmtId="0" fontId="1" fillId="64" borderId="0" applyNumberFormat="0" applyBorder="0" applyProtection="0">
      <alignment wrapText="1"/>
    </xf>
    <xf numFmtId="0" fontId="1" fillId="64" borderId="0" applyNumberFormat="0" applyBorder="0" applyProtection="0">
      <alignment wrapText="1"/>
    </xf>
    <xf numFmtId="0" fontId="1" fillId="64" borderId="0" applyNumberFormat="0" applyBorder="0" applyProtection="0">
      <alignment wrapText="1"/>
    </xf>
    <xf numFmtId="0" fontId="1" fillId="64" borderId="0" applyNumberFormat="0" applyBorder="0" applyProtection="0">
      <alignment wrapText="1"/>
    </xf>
    <xf numFmtId="0" fontId="1" fillId="64" borderId="0" applyNumberFormat="0" applyBorder="0" applyProtection="0">
      <alignment wrapText="1"/>
    </xf>
    <xf numFmtId="0" fontId="1" fillId="64" borderId="0" applyNumberFormat="0" applyBorder="0" applyProtection="0">
      <alignment wrapText="1"/>
    </xf>
    <xf numFmtId="0" fontId="1" fillId="64" borderId="0" applyNumberFormat="0" applyBorder="0" applyProtection="0">
      <alignment wrapText="1"/>
    </xf>
    <xf numFmtId="0" fontId="1" fillId="64" borderId="0" applyNumberFormat="0" applyBorder="0" applyProtection="0">
      <alignment wrapText="1"/>
    </xf>
    <xf numFmtId="0" fontId="1" fillId="64" borderId="0" applyNumberFormat="0" applyBorder="0" applyProtection="0">
      <alignment wrapText="1"/>
    </xf>
    <xf numFmtId="0" fontId="1" fillId="64" borderId="0" applyNumberFormat="0" applyBorder="0" applyProtection="0">
      <alignment wrapText="1"/>
    </xf>
    <xf numFmtId="0" fontId="1" fillId="64" borderId="0" applyNumberFormat="0" applyBorder="0" applyProtection="0">
      <alignment wrapText="1"/>
    </xf>
    <xf numFmtId="0" fontId="1" fillId="64" borderId="0" applyNumberFormat="0" applyBorder="0" applyProtection="0">
      <alignment wrapText="1"/>
    </xf>
    <xf numFmtId="0" fontId="1" fillId="64" borderId="0" applyNumberFormat="0" applyBorder="0" applyProtection="0">
      <alignment wrapText="1"/>
    </xf>
    <xf numFmtId="0" fontId="1" fillId="64" borderId="0" applyNumberFormat="0" applyBorder="0" applyProtection="0">
      <alignment wrapText="1"/>
    </xf>
    <xf numFmtId="0" fontId="1" fillId="64" borderId="0" applyNumberFormat="0" applyBorder="0" applyProtection="0">
      <alignment wrapText="1"/>
    </xf>
    <xf numFmtId="0" fontId="1" fillId="64" borderId="0" applyNumberFormat="0" applyBorder="0" applyProtection="0">
      <alignment wrapText="1"/>
    </xf>
    <xf numFmtId="0" fontId="1" fillId="64" borderId="0" applyNumberFormat="0" applyBorder="0" applyProtection="0">
      <alignment wrapText="1"/>
    </xf>
    <xf numFmtId="0" fontId="1" fillId="64" borderId="0" applyNumberFormat="0" applyBorder="0" applyProtection="0">
      <alignment wrapText="1"/>
    </xf>
    <xf numFmtId="0" fontId="1" fillId="64" borderId="0" applyNumberFormat="0" applyBorder="0" applyProtection="0">
      <alignment wrapText="1"/>
    </xf>
    <xf numFmtId="0" fontId="1" fillId="64" borderId="0" applyNumberFormat="0" applyBorder="0" applyProtection="0">
      <alignment wrapText="1"/>
    </xf>
    <xf numFmtId="0" fontId="1" fillId="64" borderId="0" applyNumberFormat="0" applyBorder="0" applyProtection="0">
      <alignment wrapText="1"/>
    </xf>
    <xf numFmtId="0" fontId="1" fillId="64" borderId="0" applyNumberFormat="0" applyBorder="0" applyProtection="0">
      <alignment wrapText="1"/>
    </xf>
    <xf numFmtId="0" fontId="1" fillId="64" borderId="0" applyNumberFormat="0" applyBorder="0" applyProtection="0">
      <alignment wrapText="1"/>
    </xf>
    <xf numFmtId="0" fontId="1" fillId="64" borderId="0" applyNumberFormat="0" applyBorder="0" applyProtection="0">
      <alignment wrapText="1"/>
    </xf>
    <xf numFmtId="0" fontId="1" fillId="64" borderId="0" applyNumberFormat="0" applyBorder="0" applyProtection="0">
      <alignment wrapText="1"/>
    </xf>
    <xf numFmtId="0" fontId="1" fillId="64" borderId="0" applyNumberFormat="0" applyBorder="0" applyProtection="0">
      <alignment wrapText="1"/>
    </xf>
    <xf numFmtId="0" fontId="1" fillId="64" borderId="0" applyNumberFormat="0" applyBorder="0" applyProtection="0">
      <alignment wrapText="1"/>
    </xf>
    <xf numFmtId="0" fontId="1" fillId="64" borderId="0" applyNumberFormat="0" applyBorder="0" applyProtection="0">
      <alignment wrapText="1"/>
    </xf>
    <xf numFmtId="0" fontId="1" fillId="64" borderId="0" applyNumberFormat="0" applyBorder="0" applyProtection="0">
      <alignment wrapText="1"/>
    </xf>
    <xf numFmtId="0" fontId="1" fillId="64" borderId="0" applyNumberFormat="0" applyBorder="0" applyProtection="0">
      <alignment wrapText="1"/>
    </xf>
    <xf numFmtId="0" fontId="1" fillId="64" borderId="0" applyNumberFormat="0" applyBorder="0" applyProtection="0">
      <alignment wrapText="1"/>
    </xf>
    <xf numFmtId="0" fontId="1" fillId="64" borderId="0" applyNumberFormat="0" applyBorder="0" applyProtection="0">
      <alignment wrapText="1"/>
    </xf>
    <xf numFmtId="0" fontId="1" fillId="64" borderId="0" applyNumberFormat="0" applyBorder="0" applyProtection="0">
      <alignment wrapText="1"/>
    </xf>
    <xf numFmtId="0" fontId="1" fillId="64" borderId="0" applyNumberFormat="0" applyBorder="0" applyProtection="0">
      <alignment wrapText="1"/>
    </xf>
    <xf numFmtId="0" fontId="1" fillId="65" borderId="0" applyNumberFormat="0" applyBorder="0" applyAlignment="0" applyProtection="0"/>
    <xf numFmtId="0" fontId="1" fillId="65" borderId="0" applyNumberFormat="0" applyBorder="0" applyAlignment="0" applyProtection="0"/>
    <xf numFmtId="0" fontId="1" fillId="64" borderId="0" applyNumberFormat="0" applyBorder="0" applyProtection="0">
      <alignment wrapText="1"/>
    </xf>
    <xf numFmtId="0" fontId="1" fillId="64" borderId="0" applyNumberFormat="0" applyBorder="0" applyProtection="0">
      <alignment wrapText="1"/>
    </xf>
    <xf numFmtId="0" fontId="1" fillId="64" borderId="0" applyNumberFormat="0" applyBorder="0" applyProtection="0">
      <alignment wrapText="1"/>
    </xf>
    <xf numFmtId="0" fontId="1" fillId="64" borderId="0" applyNumberFormat="0" applyBorder="0" applyProtection="0">
      <alignment wrapText="1"/>
    </xf>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4" borderId="0" applyNumberFormat="0" applyBorder="0" applyProtection="0">
      <alignment wrapText="1"/>
    </xf>
    <xf numFmtId="0" fontId="1" fillId="64" borderId="0" applyNumberFormat="0" applyBorder="0" applyProtection="0">
      <alignment wrapText="1"/>
    </xf>
    <xf numFmtId="0" fontId="1" fillId="64" borderId="0" applyNumberFormat="0" applyBorder="0" applyProtection="0">
      <alignment wrapText="1"/>
    </xf>
    <xf numFmtId="0" fontId="1" fillId="64" borderId="0" applyNumberFormat="0" applyBorder="0" applyProtection="0">
      <alignment wrapText="1"/>
    </xf>
    <xf numFmtId="0" fontId="1" fillId="64" borderId="0" applyNumberFormat="0" applyBorder="0" applyProtection="0">
      <alignment wrapText="1"/>
    </xf>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4" borderId="0" applyNumberFormat="0" applyBorder="0" applyProtection="0">
      <alignment wrapText="1"/>
    </xf>
    <xf numFmtId="0" fontId="1" fillId="64" borderId="0" applyNumberFormat="0" applyBorder="0" applyProtection="0">
      <alignment wrapText="1"/>
    </xf>
    <xf numFmtId="0" fontId="1" fillId="64" borderId="0" applyNumberFormat="0" applyBorder="0" applyProtection="0">
      <alignment wrapText="1"/>
    </xf>
    <xf numFmtId="0" fontId="1" fillId="64" borderId="0" applyNumberFormat="0" applyBorder="0" applyProtection="0">
      <alignment wrapText="1"/>
    </xf>
    <xf numFmtId="0" fontId="1" fillId="64" borderId="0" applyNumberFormat="0" applyBorder="0" applyProtection="0">
      <alignment wrapText="1"/>
    </xf>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4" borderId="0" applyNumberFormat="0" applyBorder="0" applyProtection="0">
      <alignment wrapText="1"/>
    </xf>
    <xf numFmtId="0" fontId="1" fillId="64" borderId="0" applyNumberFormat="0" applyBorder="0" applyProtection="0">
      <alignment wrapText="1"/>
    </xf>
    <xf numFmtId="0" fontId="1" fillId="64" borderId="0" applyNumberFormat="0" applyBorder="0" applyProtection="0">
      <alignment wrapText="1"/>
    </xf>
    <xf numFmtId="0" fontId="1" fillId="64" borderId="0" applyNumberFormat="0" applyBorder="0" applyProtection="0">
      <alignment wrapText="1"/>
    </xf>
    <xf numFmtId="0" fontId="1" fillId="64" borderId="0" applyNumberFormat="0" applyBorder="0" applyProtection="0">
      <alignment wrapText="1"/>
    </xf>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4" borderId="0" applyNumberFormat="0" applyBorder="0" applyProtection="0">
      <alignment wrapText="1"/>
    </xf>
    <xf numFmtId="0" fontId="1" fillId="64" borderId="0" applyNumberFormat="0" applyBorder="0" applyProtection="0">
      <alignment wrapText="1"/>
    </xf>
    <xf numFmtId="0" fontId="1" fillId="64" borderId="0" applyNumberFormat="0" applyBorder="0" applyProtection="0">
      <alignment wrapText="1"/>
    </xf>
    <xf numFmtId="0" fontId="1" fillId="64" borderId="0" applyNumberFormat="0" applyBorder="0" applyProtection="0">
      <alignment wrapText="1"/>
    </xf>
    <xf numFmtId="0" fontId="1" fillId="64" borderId="0" applyNumberFormat="0" applyBorder="0" applyProtection="0">
      <alignment wrapText="1"/>
    </xf>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4" borderId="0" applyNumberFormat="0" applyBorder="0" applyProtection="0">
      <alignment wrapText="1"/>
    </xf>
    <xf numFmtId="0" fontId="1" fillId="64" borderId="0" applyNumberFormat="0" applyBorder="0" applyProtection="0">
      <alignment wrapText="1"/>
    </xf>
    <xf numFmtId="0" fontId="1" fillId="64" borderId="0" applyNumberFormat="0" applyBorder="0" applyProtection="0">
      <alignment wrapText="1"/>
    </xf>
    <xf numFmtId="0" fontId="1" fillId="64" borderId="0" applyNumberFormat="0" applyBorder="0" applyProtection="0">
      <alignment wrapText="1"/>
    </xf>
    <xf numFmtId="0" fontId="1" fillId="64" borderId="0" applyNumberFormat="0" applyBorder="0" applyProtection="0">
      <alignment wrapText="1"/>
    </xf>
    <xf numFmtId="0" fontId="1" fillId="65" borderId="0" applyNumberFormat="0" applyBorder="0" applyAlignment="0" applyProtection="0"/>
    <xf numFmtId="0" fontId="1" fillId="65" borderId="0" applyNumberFormat="0" applyBorder="0" applyAlignment="0" applyProtection="0"/>
    <xf numFmtId="0" fontId="1" fillId="64" borderId="0" applyNumberFormat="0" applyBorder="0" applyProtection="0">
      <alignment wrapText="1"/>
    </xf>
    <xf numFmtId="0" fontId="1" fillId="64" borderId="0" applyNumberFormat="0" applyBorder="0" applyProtection="0">
      <alignment wrapText="1"/>
    </xf>
    <xf numFmtId="0" fontId="1" fillId="64" borderId="0" applyNumberFormat="0" applyBorder="0" applyProtection="0">
      <alignment wrapText="1"/>
    </xf>
    <xf numFmtId="0" fontId="1" fillId="64" borderId="0" applyNumberFormat="0" applyBorder="0" applyProtection="0">
      <alignment wrapText="1"/>
    </xf>
    <xf numFmtId="0" fontId="1" fillId="64" borderId="0" applyNumberFormat="0" applyBorder="0" applyProtection="0">
      <alignment wrapText="1"/>
    </xf>
    <xf numFmtId="0" fontId="1" fillId="64" borderId="0" applyNumberFormat="0" applyBorder="0" applyProtection="0">
      <alignment wrapText="1"/>
    </xf>
    <xf numFmtId="0" fontId="1" fillId="64" borderId="0" applyNumberFormat="0" applyBorder="0" applyProtection="0">
      <alignment wrapText="1"/>
    </xf>
    <xf numFmtId="0" fontId="1" fillId="64" borderId="0" applyNumberFormat="0" applyBorder="0" applyProtection="0">
      <alignment wrapText="1"/>
    </xf>
    <xf numFmtId="0" fontId="1" fillId="64" borderId="0" applyNumberFormat="0" applyBorder="0" applyProtection="0">
      <alignment wrapText="1"/>
    </xf>
    <xf numFmtId="0" fontId="1" fillId="64" borderId="0" applyNumberFormat="0" applyBorder="0" applyProtection="0">
      <alignment wrapText="1"/>
    </xf>
    <xf numFmtId="0" fontId="1" fillId="59" borderId="0" applyNumberFormat="0" applyBorder="0" applyAlignment="0" applyProtection="0"/>
    <xf numFmtId="0" fontId="1" fillId="61" borderId="0" applyNumberFormat="0" applyBorder="0" applyAlignment="0" applyProtection="0"/>
    <xf numFmtId="0" fontId="1" fillId="63" borderId="0" applyNumberFormat="0" applyBorder="0" applyAlignment="0" applyProtection="0"/>
    <xf numFmtId="0" fontId="1" fillId="53" borderId="0" applyNumberFormat="0" applyBorder="0" applyAlignment="0" applyProtection="0"/>
    <xf numFmtId="0" fontId="1" fillId="59" borderId="0" applyNumberFormat="0" applyBorder="0" applyAlignment="0" applyProtection="0"/>
    <xf numFmtId="0" fontId="1" fillId="65" borderId="0" applyNumberFormat="0" applyBorder="0" applyAlignment="0" applyProtection="0"/>
    <xf numFmtId="0" fontId="92" fillId="66" borderId="0" applyNumberFormat="0" applyBorder="0" applyProtection="0">
      <alignment wrapText="1"/>
    </xf>
    <xf numFmtId="0" fontId="92" fillId="66" borderId="0" applyNumberFormat="0" applyBorder="0" applyProtection="0">
      <alignment wrapText="1"/>
    </xf>
    <xf numFmtId="0" fontId="92" fillId="66" borderId="0" applyNumberFormat="0" applyBorder="0" applyProtection="0">
      <alignment wrapText="1"/>
    </xf>
    <xf numFmtId="0" fontId="92" fillId="66" borderId="0" applyNumberFormat="0" applyBorder="0" applyProtection="0">
      <alignment wrapText="1"/>
    </xf>
    <xf numFmtId="0" fontId="92" fillId="66" borderId="0" applyNumberFormat="0" applyBorder="0" applyProtection="0">
      <alignment wrapText="1"/>
    </xf>
    <xf numFmtId="0" fontId="92" fillId="66" borderId="0" applyNumberFormat="0" applyBorder="0" applyProtection="0">
      <alignment wrapText="1"/>
    </xf>
    <xf numFmtId="0" fontId="92" fillId="66" borderId="0" applyNumberFormat="0" applyBorder="0" applyProtection="0">
      <alignment wrapText="1"/>
    </xf>
    <xf numFmtId="0" fontId="92" fillId="66" borderId="0" applyNumberFormat="0" applyBorder="0" applyProtection="0">
      <alignment wrapText="1"/>
    </xf>
    <xf numFmtId="0" fontId="92" fillId="66" borderId="0" applyNumberFormat="0" applyBorder="0" applyProtection="0">
      <alignment wrapText="1"/>
    </xf>
    <xf numFmtId="0" fontId="92" fillId="66" borderId="0" applyNumberFormat="0" applyBorder="0" applyProtection="0">
      <alignment wrapText="1"/>
    </xf>
    <xf numFmtId="0" fontId="92" fillId="66" borderId="0" applyNumberFormat="0" applyBorder="0" applyProtection="0">
      <alignment wrapText="1"/>
    </xf>
    <xf numFmtId="0" fontId="92" fillId="66" borderId="0" applyNumberFormat="0" applyBorder="0" applyProtection="0">
      <alignment wrapText="1"/>
    </xf>
    <xf numFmtId="0" fontId="92" fillId="66" borderId="0" applyNumberFormat="0" applyBorder="0" applyProtection="0">
      <alignment wrapText="1"/>
    </xf>
    <xf numFmtId="0" fontId="92" fillId="66" borderId="0" applyNumberFormat="0" applyBorder="0" applyProtection="0">
      <alignment wrapText="1"/>
    </xf>
    <xf numFmtId="0" fontId="92" fillId="66" borderId="0" applyNumberFormat="0" applyBorder="0" applyProtection="0">
      <alignment wrapText="1"/>
    </xf>
    <xf numFmtId="0" fontId="92" fillId="66" borderId="0" applyNumberFormat="0" applyBorder="0" applyProtection="0">
      <alignment wrapText="1"/>
    </xf>
    <xf numFmtId="0" fontId="92" fillId="66" borderId="0" applyNumberFormat="0" applyBorder="0" applyProtection="0">
      <alignment wrapText="1"/>
    </xf>
    <xf numFmtId="0" fontId="92" fillId="66" borderId="0" applyNumberFormat="0" applyBorder="0" applyProtection="0">
      <alignment wrapText="1"/>
    </xf>
    <xf numFmtId="0" fontId="92" fillId="67" borderId="0" applyNumberFormat="0" applyBorder="0" applyAlignment="0" applyProtection="0"/>
    <xf numFmtId="0" fontId="92" fillId="66" borderId="0" applyNumberFormat="0" applyBorder="0" applyProtection="0">
      <alignment wrapText="1"/>
    </xf>
    <xf numFmtId="0" fontId="92" fillId="66" borderId="0" applyNumberFormat="0" applyBorder="0" applyProtection="0">
      <alignment wrapText="1"/>
    </xf>
    <xf numFmtId="0" fontId="92" fillId="66" borderId="0" applyNumberFormat="0" applyBorder="0" applyProtection="0">
      <alignment wrapText="1"/>
    </xf>
    <xf numFmtId="0" fontId="92" fillId="66" borderId="0" applyNumberFormat="0" applyBorder="0" applyProtection="0">
      <alignment wrapText="1"/>
    </xf>
    <xf numFmtId="0" fontId="92" fillId="66" borderId="0" applyNumberFormat="0" applyBorder="0" applyProtection="0">
      <alignment wrapText="1"/>
    </xf>
    <xf numFmtId="0" fontId="92" fillId="66" borderId="0" applyNumberFormat="0" applyBorder="0" applyProtection="0">
      <alignment wrapText="1"/>
    </xf>
    <xf numFmtId="0" fontId="92" fillId="66" borderId="0" applyNumberFormat="0" applyBorder="0" applyProtection="0">
      <alignment wrapText="1"/>
    </xf>
    <xf numFmtId="0" fontId="92" fillId="66" borderId="0" applyNumberFormat="0" applyBorder="0" applyProtection="0">
      <alignment wrapText="1"/>
    </xf>
    <xf numFmtId="0" fontId="92" fillId="66" borderId="0" applyNumberFormat="0" applyBorder="0" applyProtection="0">
      <alignment wrapText="1"/>
    </xf>
    <xf numFmtId="0" fontId="92" fillId="66" borderId="0" applyNumberFormat="0" applyBorder="0" applyProtection="0">
      <alignment wrapText="1"/>
    </xf>
    <xf numFmtId="0" fontId="92" fillId="66" borderId="0" applyNumberFormat="0" applyBorder="0" applyProtection="0">
      <alignment wrapText="1"/>
    </xf>
    <xf numFmtId="0" fontId="92" fillId="66" borderId="0" applyNumberFormat="0" applyBorder="0" applyProtection="0">
      <alignment wrapText="1"/>
    </xf>
    <xf numFmtId="0" fontId="92" fillId="66" borderId="0" applyNumberFormat="0" applyBorder="0" applyProtection="0">
      <alignment wrapText="1"/>
    </xf>
    <xf numFmtId="0" fontId="92" fillId="66" borderId="0" applyNumberFormat="0" applyBorder="0" applyProtection="0">
      <alignment wrapText="1"/>
    </xf>
    <xf numFmtId="0" fontId="92" fillId="66" borderId="0" applyNumberFormat="0" applyBorder="0" applyProtection="0">
      <alignment wrapText="1"/>
    </xf>
    <xf numFmtId="0" fontId="92" fillId="66" borderId="0" applyNumberFormat="0" applyBorder="0" applyProtection="0">
      <alignment wrapText="1"/>
    </xf>
    <xf numFmtId="0" fontId="92" fillId="60" borderId="0" applyNumberFormat="0" applyBorder="0" applyProtection="0">
      <alignment wrapText="1"/>
    </xf>
    <xf numFmtId="0" fontId="92" fillId="60" borderId="0" applyNumberFormat="0" applyBorder="0" applyProtection="0">
      <alignment wrapText="1"/>
    </xf>
    <xf numFmtId="0" fontId="92" fillId="60" borderId="0" applyNumberFormat="0" applyBorder="0" applyProtection="0">
      <alignment wrapText="1"/>
    </xf>
    <xf numFmtId="0" fontId="92" fillId="60" borderId="0" applyNumberFormat="0" applyBorder="0" applyProtection="0">
      <alignment wrapText="1"/>
    </xf>
    <xf numFmtId="0" fontId="92" fillId="60" borderId="0" applyNumberFormat="0" applyBorder="0" applyProtection="0">
      <alignment wrapText="1"/>
    </xf>
    <xf numFmtId="0" fontId="92" fillId="60" borderId="0" applyNumberFormat="0" applyBorder="0" applyProtection="0">
      <alignment wrapText="1"/>
    </xf>
    <xf numFmtId="0" fontId="92" fillId="60" borderId="0" applyNumberFormat="0" applyBorder="0" applyProtection="0">
      <alignment wrapText="1"/>
    </xf>
    <xf numFmtId="0" fontId="92" fillId="60" borderId="0" applyNumberFormat="0" applyBorder="0" applyProtection="0">
      <alignment wrapText="1"/>
    </xf>
    <xf numFmtId="0" fontId="92" fillId="60" borderId="0" applyNumberFormat="0" applyBorder="0" applyProtection="0">
      <alignment wrapText="1"/>
    </xf>
    <xf numFmtId="0" fontId="92" fillId="60" borderId="0" applyNumberFormat="0" applyBorder="0" applyProtection="0">
      <alignment wrapText="1"/>
    </xf>
    <xf numFmtId="0" fontId="92" fillId="60" borderId="0" applyNumberFormat="0" applyBorder="0" applyProtection="0">
      <alignment wrapText="1"/>
    </xf>
    <xf numFmtId="0" fontId="92" fillId="60" borderId="0" applyNumberFormat="0" applyBorder="0" applyProtection="0">
      <alignment wrapText="1"/>
    </xf>
    <xf numFmtId="0" fontId="92" fillId="60" borderId="0" applyNumberFormat="0" applyBorder="0" applyProtection="0">
      <alignment wrapText="1"/>
    </xf>
    <xf numFmtId="0" fontId="92" fillId="60" borderId="0" applyNumberFormat="0" applyBorder="0" applyProtection="0">
      <alignment wrapText="1"/>
    </xf>
    <xf numFmtId="0" fontId="92" fillId="60" borderId="0" applyNumberFormat="0" applyBorder="0" applyProtection="0">
      <alignment wrapText="1"/>
    </xf>
    <xf numFmtId="0" fontId="92" fillId="60" borderId="0" applyNumberFormat="0" applyBorder="0" applyProtection="0">
      <alignment wrapText="1"/>
    </xf>
    <xf numFmtId="0" fontId="92" fillId="60" borderId="0" applyNumberFormat="0" applyBorder="0" applyProtection="0">
      <alignment wrapText="1"/>
    </xf>
    <xf numFmtId="0" fontId="92" fillId="60" borderId="0" applyNumberFormat="0" applyBorder="0" applyProtection="0">
      <alignment wrapText="1"/>
    </xf>
    <xf numFmtId="0" fontId="92" fillId="61" borderId="0" applyNumberFormat="0" applyBorder="0" applyAlignment="0" applyProtection="0"/>
    <xf numFmtId="0" fontId="92" fillId="60" borderId="0" applyNumberFormat="0" applyBorder="0" applyProtection="0">
      <alignment wrapText="1"/>
    </xf>
    <xf numFmtId="0" fontId="92" fillId="60" borderId="0" applyNumberFormat="0" applyBorder="0" applyProtection="0">
      <alignment wrapText="1"/>
    </xf>
    <xf numFmtId="0" fontId="92" fillId="60" borderId="0" applyNumberFormat="0" applyBorder="0" applyProtection="0">
      <alignment wrapText="1"/>
    </xf>
    <xf numFmtId="0" fontId="92" fillId="60" borderId="0" applyNumberFormat="0" applyBorder="0" applyProtection="0">
      <alignment wrapText="1"/>
    </xf>
    <xf numFmtId="0" fontId="92" fillId="60" borderId="0" applyNumberFormat="0" applyBorder="0" applyProtection="0">
      <alignment wrapText="1"/>
    </xf>
    <xf numFmtId="0" fontId="92" fillId="60" borderId="0" applyNumberFormat="0" applyBorder="0" applyProtection="0">
      <alignment wrapText="1"/>
    </xf>
    <xf numFmtId="0" fontId="92" fillId="60" borderId="0" applyNumberFormat="0" applyBorder="0" applyProtection="0">
      <alignment wrapText="1"/>
    </xf>
    <xf numFmtId="0" fontId="92" fillId="60" borderId="0" applyNumberFormat="0" applyBorder="0" applyProtection="0">
      <alignment wrapText="1"/>
    </xf>
    <xf numFmtId="0" fontId="92" fillId="60" borderId="0" applyNumberFormat="0" applyBorder="0" applyProtection="0">
      <alignment wrapText="1"/>
    </xf>
    <xf numFmtId="0" fontId="92" fillId="60" borderId="0" applyNumberFormat="0" applyBorder="0" applyProtection="0">
      <alignment wrapText="1"/>
    </xf>
    <xf numFmtId="0" fontId="92" fillId="60" borderId="0" applyNumberFormat="0" applyBorder="0" applyProtection="0">
      <alignment wrapText="1"/>
    </xf>
    <xf numFmtId="0" fontId="92" fillId="60" borderId="0" applyNumberFormat="0" applyBorder="0" applyProtection="0">
      <alignment wrapText="1"/>
    </xf>
    <xf numFmtId="0" fontId="92" fillId="60" borderId="0" applyNumberFormat="0" applyBorder="0" applyProtection="0">
      <alignment wrapText="1"/>
    </xf>
    <xf numFmtId="0" fontId="92" fillId="60" borderId="0" applyNumberFormat="0" applyBorder="0" applyProtection="0">
      <alignment wrapText="1"/>
    </xf>
    <xf numFmtId="0" fontId="92" fillId="60" borderId="0" applyNumberFormat="0" applyBorder="0" applyProtection="0">
      <alignment wrapText="1"/>
    </xf>
    <xf numFmtId="0" fontId="92" fillId="60" borderId="0" applyNumberFormat="0" applyBorder="0" applyProtection="0">
      <alignment wrapText="1"/>
    </xf>
    <xf numFmtId="0" fontId="92" fillId="62" borderId="0" applyNumberFormat="0" applyBorder="0" applyProtection="0">
      <alignment wrapText="1"/>
    </xf>
    <xf numFmtId="0" fontId="92" fillId="62" borderId="0" applyNumberFormat="0" applyBorder="0" applyProtection="0">
      <alignment wrapText="1"/>
    </xf>
    <xf numFmtId="0" fontId="92" fillId="62" borderId="0" applyNumberFormat="0" applyBorder="0" applyProtection="0">
      <alignment wrapText="1"/>
    </xf>
    <xf numFmtId="0" fontId="92" fillId="62" borderId="0" applyNumberFormat="0" applyBorder="0" applyProtection="0">
      <alignment wrapText="1"/>
    </xf>
    <xf numFmtId="0" fontId="92" fillId="62" borderId="0" applyNumberFormat="0" applyBorder="0" applyProtection="0">
      <alignment wrapText="1"/>
    </xf>
    <xf numFmtId="0" fontId="92" fillId="62" borderId="0" applyNumberFormat="0" applyBorder="0" applyProtection="0">
      <alignment wrapText="1"/>
    </xf>
    <xf numFmtId="0" fontId="92" fillId="62" borderId="0" applyNumberFormat="0" applyBorder="0" applyProtection="0">
      <alignment wrapText="1"/>
    </xf>
    <xf numFmtId="0" fontId="92" fillId="62" borderId="0" applyNumberFormat="0" applyBorder="0" applyProtection="0">
      <alignment wrapText="1"/>
    </xf>
    <xf numFmtId="0" fontId="92" fillId="62" borderId="0" applyNumberFormat="0" applyBorder="0" applyProtection="0">
      <alignment wrapText="1"/>
    </xf>
    <xf numFmtId="0" fontId="92" fillId="62" borderId="0" applyNumberFormat="0" applyBorder="0" applyProtection="0">
      <alignment wrapText="1"/>
    </xf>
    <xf numFmtId="0" fontId="92" fillId="62" borderId="0" applyNumberFormat="0" applyBorder="0" applyProtection="0">
      <alignment wrapText="1"/>
    </xf>
    <xf numFmtId="0" fontId="92" fillId="62" borderId="0" applyNumberFormat="0" applyBorder="0" applyProtection="0">
      <alignment wrapText="1"/>
    </xf>
    <xf numFmtId="0" fontId="92" fillId="62" borderId="0" applyNumberFormat="0" applyBorder="0" applyProtection="0">
      <alignment wrapText="1"/>
    </xf>
    <xf numFmtId="0" fontId="92" fillId="62" borderId="0" applyNumberFormat="0" applyBorder="0" applyProtection="0">
      <alignment wrapText="1"/>
    </xf>
    <xf numFmtId="0" fontId="92" fillId="62" borderId="0" applyNumberFormat="0" applyBorder="0" applyProtection="0">
      <alignment wrapText="1"/>
    </xf>
    <xf numFmtId="0" fontId="92" fillId="62" borderId="0" applyNumberFormat="0" applyBorder="0" applyProtection="0">
      <alignment wrapText="1"/>
    </xf>
    <xf numFmtId="0" fontId="92" fillId="62" borderId="0" applyNumberFormat="0" applyBorder="0" applyProtection="0">
      <alignment wrapText="1"/>
    </xf>
    <xf numFmtId="0" fontId="92" fillId="62" borderId="0" applyNumberFormat="0" applyBorder="0" applyProtection="0">
      <alignment wrapText="1"/>
    </xf>
    <xf numFmtId="0" fontId="92" fillId="63" borderId="0" applyNumberFormat="0" applyBorder="0" applyAlignment="0" applyProtection="0"/>
    <xf numFmtId="0" fontId="92" fillId="62" borderId="0" applyNumberFormat="0" applyBorder="0" applyProtection="0">
      <alignment wrapText="1"/>
    </xf>
    <xf numFmtId="0" fontId="92" fillId="62" borderId="0" applyNumberFormat="0" applyBorder="0" applyProtection="0">
      <alignment wrapText="1"/>
    </xf>
    <xf numFmtId="0" fontId="92" fillId="62" borderId="0" applyNumberFormat="0" applyBorder="0" applyProtection="0">
      <alignment wrapText="1"/>
    </xf>
    <xf numFmtId="0" fontId="92" fillId="62" borderId="0" applyNumberFormat="0" applyBorder="0" applyProtection="0">
      <alignment wrapText="1"/>
    </xf>
    <xf numFmtId="0" fontId="92" fillId="62" borderId="0" applyNumberFormat="0" applyBorder="0" applyProtection="0">
      <alignment wrapText="1"/>
    </xf>
    <xf numFmtId="0" fontId="92" fillId="62" borderId="0" applyNumberFormat="0" applyBorder="0" applyProtection="0">
      <alignment wrapText="1"/>
    </xf>
    <xf numFmtId="0" fontId="92" fillId="62" borderId="0" applyNumberFormat="0" applyBorder="0" applyProtection="0">
      <alignment wrapText="1"/>
    </xf>
    <xf numFmtId="0" fontId="92" fillId="62" borderId="0" applyNumberFormat="0" applyBorder="0" applyProtection="0">
      <alignment wrapText="1"/>
    </xf>
    <xf numFmtId="0" fontId="92" fillId="62" borderId="0" applyNumberFormat="0" applyBorder="0" applyProtection="0">
      <alignment wrapText="1"/>
    </xf>
    <xf numFmtId="0" fontId="92" fillId="62" borderId="0" applyNumberFormat="0" applyBorder="0" applyProtection="0">
      <alignment wrapText="1"/>
    </xf>
    <xf numFmtId="0" fontId="92" fillId="62" borderId="0" applyNumberFormat="0" applyBorder="0" applyProtection="0">
      <alignment wrapText="1"/>
    </xf>
    <xf numFmtId="0" fontId="92" fillId="62" borderId="0" applyNumberFormat="0" applyBorder="0" applyProtection="0">
      <alignment wrapText="1"/>
    </xf>
    <xf numFmtId="0" fontId="92" fillId="62" borderId="0" applyNumberFormat="0" applyBorder="0" applyProtection="0">
      <alignment wrapText="1"/>
    </xf>
    <xf numFmtId="0" fontId="92" fillId="62" borderId="0" applyNumberFormat="0" applyBorder="0" applyProtection="0">
      <alignment wrapText="1"/>
    </xf>
    <xf numFmtId="0" fontId="92" fillId="62" borderId="0" applyNumberFormat="0" applyBorder="0" applyProtection="0">
      <alignment wrapText="1"/>
    </xf>
    <xf numFmtId="0" fontId="92" fillId="62" borderId="0" applyNumberFormat="0" applyBorder="0" applyProtection="0">
      <alignment wrapText="1"/>
    </xf>
    <xf numFmtId="0" fontId="92" fillId="68" borderId="0" applyNumberFormat="0" applyBorder="0" applyProtection="0">
      <alignment wrapText="1"/>
    </xf>
    <xf numFmtId="0" fontId="92" fillId="68" borderId="0" applyNumberFormat="0" applyBorder="0" applyProtection="0">
      <alignment wrapText="1"/>
    </xf>
    <xf numFmtId="0" fontId="92" fillId="68" borderId="0" applyNumberFormat="0" applyBorder="0" applyProtection="0">
      <alignment wrapText="1"/>
    </xf>
    <xf numFmtId="0" fontId="92" fillId="68" borderId="0" applyNumberFormat="0" applyBorder="0" applyProtection="0">
      <alignment wrapText="1"/>
    </xf>
    <xf numFmtId="0" fontId="92" fillId="68" borderId="0" applyNumberFormat="0" applyBorder="0" applyProtection="0">
      <alignment wrapText="1"/>
    </xf>
    <xf numFmtId="0" fontId="92" fillId="68" borderId="0" applyNumberFormat="0" applyBorder="0" applyProtection="0">
      <alignment wrapText="1"/>
    </xf>
    <xf numFmtId="0" fontId="92" fillId="68" borderId="0" applyNumberFormat="0" applyBorder="0" applyProtection="0">
      <alignment wrapText="1"/>
    </xf>
    <xf numFmtId="0" fontId="92" fillId="68" borderId="0" applyNumberFormat="0" applyBorder="0" applyProtection="0">
      <alignment wrapText="1"/>
    </xf>
    <xf numFmtId="0" fontId="92" fillId="68" borderId="0" applyNumberFormat="0" applyBorder="0" applyProtection="0">
      <alignment wrapText="1"/>
    </xf>
    <xf numFmtId="0" fontId="92" fillId="68" borderId="0" applyNumberFormat="0" applyBorder="0" applyProtection="0">
      <alignment wrapText="1"/>
    </xf>
    <xf numFmtId="0" fontId="92" fillId="68" borderId="0" applyNumberFormat="0" applyBorder="0" applyProtection="0">
      <alignment wrapText="1"/>
    </xf>
    <xf numFmtId="0" fontId="92" fillId="68" borderId="0" applyNumberFormat="0" applyBorder="0" applyProtection="0">
      <alignment wrapText="1"/>
    </xf>
    <xf numFmtId="0" fontId="92" fillId="68" borderId="0" applyNumberFormat="0" applyBorder="0" applyProtection="0">
      <alignment wrapText="1"/>
    </xf>
    <xf numFmtId="0" fontId="92" fillId="68" borderId="0" applyNumberFormat="0" applyBorder="0" applyProtection="0">
      <alignment wrapText="1"/>
    </xf>
    <xf numFmtId="0" fontId="92" fillId="68" borderId="0" applyNumberFormat="0" applyBorder="0" applyProtection="0">
      <alignment wrapText="1"/>
    </xf>
    <xf numFmtId="0" fontId="92" fillId="68" borderId="0" applyNumberFormat="0" applyBorder="0" applyProtection="0">
      <alignment wrapText="1"/>
    </xf>
    <xf numFmtId="0" fontId="92" fillId="68" borderId="0" applyNumberFormat="0" applyBorder="0" applyProtection="0">
      <alignment wrapText="1"/>
    </xf>
    <xf numFmtId="0" fontId="92" fillId="68" borderId="0" applyNumberFormat="0" applyBorder="0" applyProtection="0">
      <alignment wrapText="1"/>
    </xf>
    <xf numFmtId="0" fontId="92" fillId="69" borderId="0" applyNumberFormat="0" applyBorder="0" applyAlignment="0" applyProtection="0"/>
    <xf numFmtId="0" fontId="92" fillId="68" borderId="0" applyNumberFormat="0" applyBorder="0" applyProtection="0">
      <alignment wrapText="1"/>
    </xf>
    <xf numFmtId="0" fontId="92" fillId="68" borderId="0" applyNumberFormat="0" applyBorder="0" applyProtection="0">
      <alignment wrapText="1"/>
    </xf>
    <xf numFmtId="0" fontId="92" fillId="68" borderId="0" applyNumberFormat="0" applyBorder="0" applyProtection="0">
      <alignment wrapText="1"/>
    </xf>
    <xf numFmtId="0" fontId="92" fillId="68" borderId="0" applyNumberFormat="0" applyBorder="0" applyProtection="0">
      <alignment wrapText="1"/>
    </xf>
    <xf numFmtId="0" fontId="92" fillId="68" borderId="0" applyNumberFormat="0" applyBorder="0" applyProtection="0">
      <alignment wrapText="1"/>
    </xf>
    <xf numFmtId="0" fontId="92" fillId="68" borderId="0" applyNumberFormat="0" applyBorder="0" applyProtection="0">
      <alignment wrapText="1"/>
    </xf>
    <xf numFmtId="0" fontId="92" fillId="68" borderId="0" applyNumberFormat="0" applyBorder="0" applyProtection="0">
      <alignment wrapText="1"/>
    </xf>
    <xf numFmtId="0" fontId="92" fillId="68" borderId="0" applyNumberFormat="0" applyBorder="0" applyProtection="0">
      <alignment wrapText="1"/>
    </xf>
    <xf numFmtId="0" fontId="92" fillId="68" borderId="0" applyNumberFormat="0" applyBorder="0" applyProtection="0">
      <alignment wrapText="1"/>
    </xf>
    <xf numFmtId="0" fontId="92" fillId="68" borderId="0" applyNumberFormat="0" applyBorder="0" applyProtection="0">
      <alignment wrapText="1"/>
    </xf>
    <xf numFmtId="0" fontId="92" fillId="68" borderId="0" applyNumberFormat="0" applyBorder="0" applyProtection="0">
      <alignment wrapText="1"/>
    </xf>
    <xf numFmtId="0" fontId="92" fillId="68" borderId="0" applyNumberFormat="0" applyBorder="0" applyProtection="0">
      <alignment wrapText="1"/>
    </xf>
    <xf numFmtId="0" fontId="92" fillId="68" borderId="0" applyNumberFormat="0" applyBorder="0" applyProtection="0">
      <alignment wrapText="1"/>
    </xf>
    <xf numFmtId="0" fontId="92" fillId="68" borderId="0" applyNumberFormat="0" applyBorder="0" applyProtection="0">
      <alignment wrapText="1"/>
    </xf>
    <xf numFmtId="0" fontId="92" fillId="68" borderId="0" applyNumberFormat="0" applyBorder="0" applyProtection="0">
      <alignment wrapText="1"/>
    </xf>
    <xf numFmtId="0" fontId="92" fillId="68" borderId="0" applyNumberFormat="0" applyBorder="0" applyProtection="0">
      <alignment wrapText="1"/>
    </xf>
    <xf numFmtId="0" fontId="92" fillId="70" borderId="0" applyNumberFormat="0" applyBorder="0" applyProtection="0">
      <alignment wrapText="1"/>
    </xf>
    <xf numFmtId="0" fontId="92" fillId="70" borderId="0" applyNumberFormat="0" applyBorder="0" applyProtection="0">
      <alignment wrapText="1"/>
    </xf>
    <xf numFmtId="0" fontId="92" fillId="70" borderId="0" applyNumberFormat="0" applyBorder="0" applyProtection="0">
      <alignment wrapText="1"/>
    </xf>
    <xf numFmtId="0" fontId="92" fillId="70" borderId="0" applyNumberFormat="0" applyBorder="0" applyProtection="0">
      <alignment wrapText="1"/>
    </xf>
    <xf numFmtId="0" fontId="92" fillId="70" borderId="0" applyNumberFormat="0" applyBorder="0" applyProtection="0">
      <alignment wrapText="1"/>
    </xf>
    <xf numFmtId="0" fontId="92" fillId="70" borderId="0" applyNumberFormat="0" applyBorder="0" applyProtection="0">
      <alignment wrapText="1"/>
    </xf>
    <xf numFmtId="0" fontId="92" fillId="70" borderId="0" applyNumberFormat="0" applyBorder="0" applyProtection="0">
      <alignment wrapText="1"/>
    </xf>
    <xf numFmtId="0" fontId="92" fillId="70" borderId="0" applyNumberFormat="0" applyBorder="0" applyProtection="0">
      <alignment wrapText="1"/>
    </xf>
    <xf numFmtId="0" fontId="92" fillId="70" borderId="0" applyNumberFormat="0" applyBorder="0" applyProtection="0">
      <alignment wrapText="1"/>
    </xf>
    <xf numFmtId="0" fontId="92" fillId="70" borderId="0" applyNumberFormat="0" applyBorder="0" applyProtection="0">
      <alignment wrapText="1"/>
    </xf>
    <xf numFmtId="0" fontId="92" fillId="70" borderId="0" applyNumberFormat="0" applyBorder="0" applyProtection="0">
      <alignment wrapText="1"/>
    </xf>
    <xf numFmtId="0" fontId="92" fillId="70" borderId="0" applyNumberFormat="0" applyBorder="0" applyProtection="0">
      <alignment wrapText="1"/>
    </xf>
    <xf numFmtId="0" fontId="92" fillId="70" borderId="0" applyNumberFormat="0" applyBorder="0" applyProtection="0">
      <alignment wrapText="1"/>
    </xf>
    <xf numFmtId="0" fontId="92" fillId="70" borderId="0" applyNumberFormat="0" applyBorder="0" applyProtection="0">
      <alignment wrapText="1"/>
    </xf>
    <xf numFmtId="0" fontId="92" fillId="70" borderId="0" applyNumberFormat="0" applyBorder="0" applyProtection="0">
      <alignment wrapText="1"/>
    </xf>
    <xf numFmtId="0" fontId="92" fillId="70" borderId="0" applyNumberFormat="0" applyBorder="0" applyProtection="0">
      <alignment wrapText="1"/>
    </xf>
    <xf numFmtId="0" fontId="92" fillId="70" borderId="0" applyNumberFormat="0" applyBorder="0" applyProtection="0">
      <alignment wrapText="1"/>
    </xf>
    <xf numFmtId="0" fontId="92" fillId="70" borderId="0" applyNumberFormat="0" applyBorder="0" applyProtection="0">
      <alignment wrapText="1"/>
    </xf>
    <xf numFmtId="0" fontId="92" fillId="71" borderId="0" applyNumberFormat="0" applyBorder="0" applyAlignment="0" applyProtection="0"/>
    <xf numFmtId="0" fontId="92" fillId="70" borderId="0" applyNumberFormat="0" applyBorder="0" applyProtection="0">
      <alignment wrapText="1"/>
    </xf>
    <xf numFmtId="0" fontId="92" fillId="70" borderId="0" applyNumberFormat="0" applyBorder="0" applyProtection="0">
      <alignment wrapText="1"/>
    </xf>
    <xf numFmtId="0" fontId="92" fillId="70" borderId="0" applyNumberFormat="0" applyBorder="0" applyProtection="0">
      <alignment wrapText="1"/>
    </xf>
    <xf numFmtId="0" fontId="92" fillId="70" borderId="0" applyNumberFormat="0" applyBorder="0" applyProtection="0">
      <alignment wrapText="1"/>
    </xf>
    <xf numFmtId="0" fontId="92" fillId="70" borderId="0" applyNumberFormat="0" applyBorder="0" applyProtection="0">
      <alignment wrapText="1"/>
    </xf>
    <xf numFmtId="0" fontId="92" fillId="70" borderId="0" applyNumberFormat="0" applyBorder="0" applyProtection="0">
      <alignment wrapText="1"/>
    </xf>
    <xf numFmtId="0" fontId="92" fillId="70" borderId="0" applyNumberFormat="0" applyBorder="0" applyProtection="0">
      <alignment wrapText="1"/>
    </xf>
    <xf numFmtId="0" fontId="92" fillId="70" borderId="0" applyNumberFormat="0" applyBorder="0" applyProtection="0">
      <alignment wrapText="1"/>
    </xf>
    <xf numFmtId="0" fontId="92" fillId="70" borderId="0" applyNumberFormat="0" applyBorder="0" applyProtection="0">
      <alignment wrapText="1"/>
    </xf>
    <xf numFmtId="0" fontId="92" fillId="70" borderId="0" applyNumberFormat="0" applyBorder="0" applyProtection="0">
      <alignment wrapText="1"/>
    </xf>
    <xf numFmtId="0" fontId="92" fillId="70" borderId="0" applyNumberFormat="0" applyBorder="0" applyProtection="0">
      <alignment wrapText="1"/>
    </xf>
    <xf numFmtId="0" fontId="92" fillId="70" borderId="0" applyNumberFormat="0" applyBorder="0" applyProtection="0">
      <alignment wrapText="1"/>
    </xf>
    <xf numFmtId="0" fontId="92" fillId="70" borderId="0" applyNumberFormat="0" applyBorder="0" applyProtection="0">
      <alignment wrapText="1"/>
    </xf>
    <xf numFmtId="0" fontId="92" fillId="70" borderId="0" applyNumberFormat="0" applyBorder="0" applyProtection="0">
      <alignment wrapText="1"/>
    </xf>
    <xf numFmtId="0" fontId="92" fillId="70" borderId="0" applyNumberFormat="0" applyBorder="0" applyProtection="0">
      <alignment wrapText="1"/>
    </xf>
    <xf numFmtId="0" fontId="92" fillId="70" borderId="0" applyNumberFormat="0" applyBorder="0" applyProtection="0">
      <alignment wrapText="1"/>
    </xf>
    <xf numFmtId="0" fontId="92" fillId="72" borderId="0" applyNumberFormat="0" applyBorder="0" applyProtection="0">
      <alignment wrapText="1"/>
    </xf>
    <xf numFmtId="0" fontId="92" fillId="72" borderId="0" applyNumberFormat="0" applyBorder="0" applyProtection="0">
      <alignment wrapText="1"/>
    </xf>
    <xf numFmtId="0" fontId="92" fillId="72" borderId="0" applyNumberFormat="0" applyBorder="0" applyProtection="0">
      <alignment wrapText="1"/>
    </xf>
    <xf numFmtId="0" fontId="92" fillId="72" borderId="0" applyNumberFormat="0" applyBorder="0" applyProtection="0">
      <alignment wrapText="1"/>
    </xf>
    <xf numFmtId="0" fontId="92" fillId="72" borderId="0" applyNumberFormat="0" applyBorder="0" applyProtection="0">
      <alignment wrapText="1"/>
    </xf>
    <xf numFmtId="0" fontId="92" fillId="72" borderId="0" applyNumberFormat="0" applyBorder="0" applyProtection="0">
      <alignment wrapText="1"/>
    </xf>
    <xf numFmtId="0" fontId="92" fillId="72" borderId="0" applyNumberFormat="0" applyBorder="0" applyProtection="0">
      <alignment wrapText="1"/>
    </xf>
    <xf numFmtId="0" fontId="92" fillId="72" borderId="0" applyNumberFormat="0" applyBorder="0" applyProtection="0">
      <alignment wrapText="1"/>
    </xf>
    <xf numFmtId="0" fontId="92" fillId="72" borderId="0" applyNumberFormat="0" applyBorder="0" applyProtection="0">
      <alignment wrapText="1"/>
    </xf>
    <xf numFmtId="0" fontId="92" fillId="72" borderId="0" applyNumberFormat="0" applyBorder="0" applyProtection="0">
      <alignment wrapText="1"/>
    </xf>
    <xf numFmtId="0" fontId="92" fillId="72" borderId="0" applyNumberFormat="0" applyBorder="0" applyProtection="0">
      <alignment wrapText="1"/>
    </xf>
    <xf numFmtId="0" fontId="92" fillId="72" borderId="0" applyNumberFormat="0" applyBorder="0" applyProtection="0">
      <alignment wrapText="1"/>
    </xf>
    <xf numFmtId="0" fontId="92" fillId="72" borderId="0" applyNumberFormat="0" applyBorder="0" applyProtection="0">
      <alignment wrapText="1"/>
    </xf>
    <xf numFmtId="0" fontId="92" fillId="72" borderId="0" applyNumberFormat="0" applyBorder="0" applyProtection="0">
      <alignment wrapText="1"/>
    </xf>
    <xf numFmtId="0" fontId="92" fillId="72" borderId="0" applyNumberFormat="0" applyBorder="0" applyProtection="0">
      <alignment wrapText="1"/>
    </xf>
    <xf numFmtId="0" fontId="92" fillId="72" borderId="0" applyNumberFormat="0" applyBorder="0" applyProtection="0">
      <alignment wrapText="1"/>
    </xf>
    <xf numFmtId="0" fontId="92" fillId="72" borderId="0" applyNumberFormat="0" applyBorder="0" applyProtection="0">
      <alignment wrapText="1"/>
    </xf>
    <xf numFmtId="0" fontId="92" fillId="72" borderId="0" applyNumberFormat="0" applyBorder="0" applyProtection="0">
      <alignment wrapText="1"/>
    </xf>
    <xf numFmtId="0" fontId="92" fillId="73" borderId="0" applyNumberFormat="0" applyBorder="0" applyAlignment="0" applyProtection="0"/>
    <xf numFmtId="0" fontId="92" fillId="72" borderId="0" applyNumberFormat="0" applyBorder="0" applyProtection="0">
      <alignment wrapText="1"/>
    </xf>
    <xf numFmtId="0" fontId="92" fillId="72" borderId="0" applyNumberFormat="0" applyBorder="0" applyProtection="0">
      <alignment wrapText="1"/>
    </xf>
    <xf numFmtId="0" fontId="92" fillId="72" borderId="0" applyNumberFormat="0" applyBorder="0" applyProtection="0">
      <alignment wrapText="1"/>
    </xf>
    <xf numFmtId="0" fontId="92" fillId="72" borderId="0" applyNumberFormat="0" applyBorder="0" applyProtection="0">
      <alignment wrapText="1"/>
    </xf>
    <xf numFmtId="0" fontId="92" fillId="72" borderId="0" applyNumberFormat="0" applyBorder="0" applyProtection="0">
      <alignment wrapText="1"/>
    </xf>
    <xf numFmtId="0" fontId="92" fillId="72" borderId="0" applyNumberFormat="0" applyBorder="0" applyProtection="0">
      <alignment wrapText="1"/>
    </xf>
    <xf numFmtId="0" fontId="92" fillId="72" borderId="0" applyNumberFormat="0" applyBorder="0" applyProtection="0">
      <alignment wrapText="1"/>
    </xf>
    <xf numFmtId="0" fontId="92" fillId="72" borderId="0" applyNumberFormat="0" applyBorder="0" applyProtection="0">
      <alignment wrapText="1"/>
    </xf>
    <xf numFmtId="0" fontId="92" fillId="72" borderId="0" applyNumberFormat="0" applyBorder="0" applyProtection="0">
      <alignment wrapText="1"/>
    </xf>
    <xf numFmtId="0" fontId="92" fillId="72" borderId="0" applyNumberFormat="0" applyBorder="0" applyProtection="0">
      <alignment wrapText="1"/>
    </xf>
    <xf numFmtId="0" fontId="92" fillId="72" borderId="0" applyNumberFormat="0" applyBorder="0" applyProtection="0">
      <alignment wrapText="1"/>
    </xf>
    <xf numFmtId="0" fontId="92" fillId="72" borderId="0" applyNumberFormat="0" applyBorder="0" applyProtection="0">
      <alignment wrapText="1"/>
    </xf>
    <xf numFmtId="0" fontId="92" fillId="72" borderId="0" applyNumberFormat="0" applyBorder="0" applyProtection="0">
      <alignment wrapText="1"/>
    </xf>
    <xf numFmtId="0" fontId="92" fillId="72" borderId="0" applyNumberFormat="0" applyBorder="0" applyProtection="0">
      <alignment wrapText="1"/>
    </xf>
    <xf numFmtId="0" fontId="92" fillId="72" borderId="0" applyNumberFormat="0" applyBorder="0" applyProtection="0">
      <alignment wrapText="1"/>
    </xf>
    <xf numFmtId="0" fontId="92" fillId="72" borderId="0" applyNumberFormat="0" applyBorder="0" applyProtection="0">
      <alignment wrapText="1"/>
    </xf>
    <xf numFmtId="0" fontId="92" fillId="67" borderId="0" applyNumberFormat="0" applyBorder="0" applyAlignment="0" applyProtection="0"/>
    <xf numFmtId="0" fontId="92" fillId="61" borderId="0" applyNumberFormat="0" applyBorder="0" applyAlignment="0" applyProtection="0"/>
    <xf numFmtId="0" fontId="92" fillId="63" borderId="0" applyNumberFormat="0" applyBorder="0" applyAlignment="0" applyProtection="0"/>
    <xf numFmtId="0" fontId="92" fillId="69" borderId="0" applyNumberFormat="0" applyBorder="0" applyAlignment="0" applyProtection="0"/>
    <xf numFmtId="0" fontId="92" fillId="71" borderId="0" applyNumberFormat="0" applyBorder="0" applyAlignment="0" applyProtection="0"/>
    <xf numFmtId="0" fontId="92" fillId="73" borderId="0" applyNumberFormat="0" applyBorder="0" applyAlignment="0" applyProtection="0"/>
    <xf numFmtId="0" fontId="92" fillId="74" borderId="0" applyNumberFormat="0" applyBorder="0" applyProtection="0">
      <alignment wrapText="1"/>
    </xf>
    <xf numFmtId="0" fontId="92" fillId="74" borderId="0" applyNumberFormat="0" applyBorder="0" applyProtection="0">
      <alignment wrapText="1"/>
    </xf>
    <xf numFmtId="0" fontId="92" fillId="74" borderId="0" applyNumberFormat="0" applyBorder="0" applyProtection="0">
      <alignment wrapText="1"/>
    </xf>
    <xf numFmtId="0" fontId="92" fillId="74" borderId="0" applyNumberFormat="0" applyBorder="0" applyProtection="0">
      <alignment wrapText="1"/>
    </xf>
    <xf numFmtId="0" fontId="92" fillId="74" borderId="0" applyNumberFormat="0" applyBorder="0" applyProtection="0">
      <alignment wrapText="1"/>
    </xf>
    <xf numFmtId="0" fontId="92" fillId="74" borderId="0" applyNumberFormat="0" applyBorder="0" applyProtection="0">
      <alignment wrapText="1"/>
    </xf>
    <xf numFmtId="0" fontId="92" fillId="74" borderId="0" applyNumberFormat="0" applyBorder="0" applyProtection="0">
      <alignment wrapText="1"/>
    </xf>
    <xf numFmtId="0" fontId="92" fillId="74" borderId="0" applyNumberFormat="0" applyBorder="0" applyProtection="0">
      <alignment wrapText="1"/>
    </xf>
    <xf numFmtId="0" fontId="92" fillId="74" borderId="0" applyNumberFormat="0" applyBorder="0" applyProtection="0">
      <alignment wrapText="1"/>
    </xf>
    <xf numFmtId="0" fontId="92" fillId="74" borderId="0" applyNumberFormat="0" applyBorder="0" applyProtection="0">
      <alignment wrapText="1"/>
    </xf>
    <xf numFmtId="0" fontId="92" fillId="74" borderId="0" applyNumberFormat="0" applyBorder="0" applyProtection="0">
      <alignment wrapText="1"/>
    </xf>
    <xf numFmtId="0" fontId="92" fillId="74" borderId="0" applyNumberFormat="0" applyBorder="0" applyProtection="0">
      <alignment wrapText="1"/>
    </xf>
    <xf numFmtId="0" fontId="92" fillId="74" borderId="0" applyNumberFormat="0" applyBorder="0" applyProtection="0">
      <alignment wrapText="1"/>
    </xf>
    <xf numFmtId="0" fontId="92" fillId="74" borderId="0" applyNumberFormat="0" applyBorder="0" applyProtection="0">
      <alignment wrapText="1"/>
    </xf>
    <xf numFmtId="0" fontId="92" fillId="74" borderId="0" applyNumberFormat="0" applyBorder="0" applyProtection="0">
      <alignment wrapText="1"/>
    </xf>
    <xf numFmtId="0" fontId="92" fillId="74" borderId="0" applyNumberFormat="0" applyBorder="0" applyProtection="0">
      <alignment wrapText="1"/>
    </xf>
    <xf numFmtId="0" fontId="92" fillId="74" borderId="0" applyNumberFormat="0" applyBorder="0" applyProtection="0">
      <alignment wrapText="1"/>
    </xf>
    <xf numFmtId="0" fontId="92" fillId="74" borderId="0" applyNumberFormat="0" applyBorder="0" applyProtection="0">
      <alignment wrapText="1"/>
    </xf>
    <xf numFmtId="0" fontId="92" fillId="75" borderId="0" applyNumberFormat="0" applyBorder="0" applyAlignment="0" applyProtection="0"/>
    <xf numFmtId="0" fontId="92" fillId="74" borderId="0" applyNumberFormat="0" applyBorder="0" applyProtection="0">
      <alignment wrapText="1"/>
    </xf>
    <xf numFmtId="0" fontId="92" fillId="74" borderId="0" applyNumberFormat="0" applyBorder="0" applyProtection="0">
      <alignment wrapText="1"/>
    </xf>
    <xf numFmtId="0" fontId="92" fillId="74" borderId="0" applyNumberFormat="0" applyBorder="0" applyProtection="0">
      <alignment wrapText="1"/>
    </xf>
    <xf numFmtId="0" fontId="92" fillId="74" borderId="0" applyNumberFormat="0" applyBorder="0" applyProtection="0">
      <alignment wrapText="1"/>
    </xf>
    <xf numFmtId="0" fontId="92" fillId="74" borderId="0" applyNumberFormat="0" applyBorder="0" applyProtection="0">
      <alignment wrapText="1"/>
    </xf>
    <xf numFmtId="0" fontId="92" fillId="74" borderId="0" applyNumberFormat="0" applyBorder="0" applyProtection="0">
      <alignment wrapText="1"/>
    </xf>
    <xf numFmtId="0" fontId="92" fillId="74" borderId="0" applyNumberFormat="0" applyBorder="0" applyProtection="0">
      <alignment wrapText="1"/>
    </xf>
    <xf numFmtId="0" fontId="92" fillId="74" borderId="0" applyNumberFormat="0" applyBorder="0" applyProtection="0">
      <alignment wrapText="1"/>
    </xf>
    <xf numFmtId="0" fontId="92" fillId="74" borderId="0" applyNumberFormat="0" applyBorder="0" applyProtection="0">
      <alignment wrapText="1"/>
    </xf>
    <xf numFmtId="0" fontId="92" fillId="74" borderId="0" applyNumberFormat="0" applyBorder="0" applyProtection="0">
      <alignment wrapText="1"/>
    </xf>
    <xf numFmtId="0" fontId="92" fillId="74" borderId="0" applyNumberFormat="0" applyBorder="0" applyProtection="0">
      <alignment wrapText="1"/>
    </xf>
    <xf numFmtId="0" fontId="92" fillId="74" borderId="0" applyNumberFormat="0" applyBorder="0" applyProtection="0">
      <alignment wrapText="1"/>
    </xf>
    <xf numFmtId="0" fontId="92" fillId="74" borderId="0" applyNumberFormat="0" applyBorder="0" applyProtection="0">
      <alignment wrapText="1"/>
    </xf>
    <xf numFmtId="0" fontId="92" fillId="74" borderId="0" applyNumberFormat="0" applyBorder="0" applyProtection="0">
      <alignment wrapText="1"/>
    </xf>
    <xf numFmtId="0" fontId="92" fillId="74" borderId="0" applyNumberFormat="0" applyBorder="0" applyProtection="0">
      <alignment wrapText="1"/>
    </xf>
    <xf numFmtId="0" fontId="92" fillId="74" borderId="0" applyNumberFormat="0" applyBorder="0" applyProtection="0">
      <alignment wrapText="1"/>
    </xf>
    <xf numFmtId="0" fontId="92" fillId="76" borderId="0" applyNumberFormat="0" applyBorder="0" applyProtection="0">
      <alignment wrapText="1"/>
    </xf>
    <xf numFmtId="0" fontId="92" fillId="76" borderId="0" applyNumberFormat="0" applyBorder="0" applyProtection="0">
      <alignment wrapText="1"/>
    </xf>
    <xf numFmtId="0" fontId="92" fillId="76" borderId="0" applyNumberFormat="0" applyBorder="0" applyProtection="0">
      <alignment wrapText="1"/>
    </xf>
    <xf numFmtId="0" fontId="92" fillId="76" borderId="0" applyNumberFormat="0" applyBorder="0" applyProtection="0">
      <alignment wrapText="1"/>
    </xf>
    <xf numFmtId="0" fontId="92" fillId="76" borderId="0" applyNumberFormat="0" applyBorder="0" applyProtection="0">
      <alignment wrapText="1"/>
    </xf>
    <xf numFmtId="0" fontId="92" fillId="76" borderId="0" applyNumberFormat="0" applyBorder="0" applyProtection="0">
      <alignment wrapText="1"/>
    </xf>
    <xf numFmtId="0" fontId="92" fillId="76" borderId="0" applyNumberFormat="0" applyBorder="0" applyProtection="0">
      <alignment wrapText="1"/>
    </xf>
    <xf numFmtId="0" fontId="92" fillId="76" borderId="0" applyNumberFormat="0" applyBorder="0" applyProtection="0">
      <alignment wrapText="1"/>
    </xf>
    <xf numFmtId="0" fontId="92" fillId="76" borderId="0" applyNumberFormat="0" applyBorder="0" applyProtection="0">
      <alignment wrapText="1"/>
    </xf>
    <xf numFmtId="0" fontId="92" fillId="76" borderId="0" applyNumberFormat="0" applyBorder="0" applyProtection="0">
      <alignment wrapText="1"/>
    </xf>
    <xf numFmtId="0" fontId="92" fillId="76" borderId="0" applyNumberFormat="0" applyBorder="0" applyProtection="0">
      <alignment wrapText="1"/>
    </xf>
    <xf numFmtId="0" fontId="92" fillId="76" borderId="0" applyNumberFormat="0" applyBorder="0" applyProtection="0">
      <alignment wrapText="1"/>
    </xf>
    <xf numFmtId="0" fontId="92" fillId="76" borderId="0" applyNumberFormat="0" applyBorder="0" applyProtection="0">
      <alignment wrapText="1"/>
    </xf>
    <xf numFmtId="0" fontId="92" fillId="76" borderId="0" applyNumberFormat="0" applyBorder="0" applyProtection="0">
      <alignment wrapText="1"/>
    </xf>
    <xf numFmtId="0" fontId="92" fillId="76" borderId="0" applyNumberFormat="0" applyBorder="0" applyProtection="0">
      <alignment wrapText="1"/>
    </xf>
    <xf numFmtId="0" fontId="92" fillId="76" borderId="0" applyNumberFormat="0" applyBorder="0" applyProtection="0">
      <alignment wrapText="1"/>
    </xf>
    <xf numFmtId="0" fontId="92" fillId="76" borderId="0" applyNumberFormat="0" applyBorder="0" applyProtection="0">
      <alignment wrapText="1"/>
    </xf>
    <xf numFmtId="0" fontId="92" fillId="76" borderId="0" applyNumberFormat="0" applyBorder="0" applyProtection="0">
      <alignment wrapText="1"/>
    </xf>
    <xf numFmtId="0" fontId="92" fillId="77" borderId="0" applyNumberFormat="0" applyBorder="0" applyAlignment="0" applyProtection="0"/>
    <xf numFmtId="0" fontId="92" fillId="76" borderId="0" applyNumberFormat="0" applyBorder="0" applyProtection="0">
      <alignment wrapText="1"/>
    </xf>
    <xf numFmtId="0" fontId="92" fillId="76" borderId="0" applyNumberFormat="0" applyBorder="0" applyProtection="0">
      <alignment wrapText="1"/>
    </xf>
    <xf numFmtId="0" fontId="92" fillId="76" borderId="0" applyNumberFormat="0" applyBorder="0" applyProtection="0">
      <alignment wrapText="1"/>
    </xf>
    <xf numFmtId="0" fontId="92" fillId="76" borderId="0" applyNumberFormat="0" applyBorder="0" applyProtection="0">
      <alignment wrapText="1"/>
    </xf>
    <xf numFmtId="0" fontId="92" fillId="76" borderId="0" applyNumberFormat="0" applyBorder="0" applyProtection="0">
      <alignment wrapText="1"/>
    </xf>
    <xf numFmtId="0" fontId="92" fillId="76" borderId="0" applyNumberFormat="0" applyBorder="0" applyProtection="0">
      <alignment wrapText="1"/>
    </xf>
    <xf numFmtId="0" fontId="92" fillId="76" borderId="0" applyNumberFormat="0" applyBorder="0" applyProtection="0">
      <alignment wrapText="1"/>
    </xf>
    <xf numFmtId="0" fontId="92" fillId="76" borderId="0" applyNumberFormat="0" applyBorder="0" applyProtection="0">
      <alignment wrapText="1"/>
    </xf>
    <xf numFmtId="0" fontId="92" fillId="76" borderId="0" applyNumberFormat="0" applyBorder="0" applyProtection="0">
      <alignment wrapText="1"/>
    </xf>
    <xf numFmtId="0" fontId="92" fillId="76" borderId="0" applyNumberFormat="0" applyBorder="0" applyProtection="0">
      <alignment wrapText="1"/>
    </xf>
    <xf numFmtId="0" fontId="92" fillId="76" borderId="0" applyNumberFormat="0" applyBorder="0" applyProtection="0">
      <alignment wrapText="1"/>
    </xf>
    <xf numFmtId="0" fontId="92" fillId="76" borderId="0" applyNumberFormat="0" applyBorder="0" applyProtection="0">
      <alignment wrapText="1"/>
    </xf>
    <xf numFmtId="0" fontId="92" fillId="76" borderId="0" applyNumberFormat="0" applyBorder="0" applyProtection="0">
      <alignment wrapText="1"/>
    </xf>
    <xf numFmtId="0" fontId="92" fillId="76" borderId="0" applyNumberFormat="0" applyBorder="0" applyProtection="0">
      <alignment wrapText="1"/>
    </xf>
    <xf numFmtId="0" fontId="92" fillId="76" borderId="0" applyNumberFormat="0" applyBorder="0" applyProtection="0">
      <alignment wrapText="1"/>
    </xf>
    <xf numFmtId="0" fontId="92" fillId="76" borderId="0" applyNumberFormat="0" applyBorder="0" applyProtection="0">
      <alignment wrapText="1"/>
    </xf>
    <xf numFmtId="0" fontId="92" fillId="78" borderId="0" applyNumberFormat="0" applyBorder="0" applyProtection="0">
      <alignment wrapText="1"/>
    </xf>
    <xf numFmtId="0" fontId="92" fillId="78" borderId="0" applyNumberFormat="0" applyBorder="0" applyProtection="0">
      <alignment wrapText="1"/>
    </xf>
    <xf numFmtId="0" fontId="92" fillId="78" borderId="0" applyNumberFormat="0" applyBorder="0" applyProtection="0">
      <alignment wrapText="1"/>
    </xf>
    <xf numFmtId="0" fontId="92" fillId="78" borderId="0" applyNumberFormat="0" applyBorder="0" applyProtection="0">
      <alignment wrapText="1"/>
    </xf>
    <xf numFmtId="0" fontId="92" fillId="78" borderId="0" applyNumberFormat="0" applyBorder="0" applyProtection="0">
      <alignment wrapText="1"/>
    </xf>
    <xf numFmtId="0" fontId="92" fillId="78" borderId="0" applyNumberFormat="0" applyBorder="0" applyProtection="0">
      <alignment wrapText="1"/>
    </xf>
    <xf numFmtId="0" fontId="92" fillId="78" borderId="0" applyNumberFormat="0" applyBorder="0" applyProtection="0">
      <alignment wrapText="1"/>
    </xf>
    <xf numFmtId="0" fontId="92" fillId="78" borderId="0" applyNumberFormat="0" applyBorder="0" applyProtection="0">
      <alignment wrapText="1"/>
    </xf>
    <xf numFmtId="0" fontId="92" fillId="78" borderId="0" applyNumberFormat="0" applyBorder="0" applyProtection="0">
      <alignment wrapText="1"/>
    </xf>
    <xf numFmtId="0" fontId="92" fillId="78" borderId="0" applyNumberFormat="0" applyBorder="0" applyProtection="0">
      <alignment wrapText="1"/>
    </xf>
    <xf numFmtId="0" fontId="92" fillId="78" borderId="0" applyNumberFormat="0" applyBorder="0" applyProtection="0">
      <alignment wrapText="1"/>
    </xf>
    <xf numFmtId="0" fontId="92" fillId="78" borderId="0" applyNumberFormat="0" applyBorder="0" applyProtection="0">
      <alignment wrapText="1"/>
    </xf>
    <xf numFmtId="0" fontId="92" fillId="78" borderId="0" applyNumberFormat="0" applyBorder="0" applyProtection="0">
      <alignment wrapText="1"/>
    </xf>
    <xf numFmtId="0" fontId="92" fillId="78" borderId="0" applyNumberFormat="0" applyBorder="0" applyProtection="0">
      <alignment wrapText="1"/>
    </xf>
    <xf numFmtId="0" fontId="92" fillId="78" borderId="0" applyNumberFormat="0" applyBorder="0" applyProtection="0">
      <alignment wrapText="1"/>
    </xf>
    <xf numFmtId="0" fontId="92" fillId="78" borderId="0" applyNumberFormat="0" applyBorder="0" applyProtection="0">
      <alignment wrapText="1"/>
    </xf>
    <xf numFmtId="0" fontId="92" fillId="78" borderId="0" applyNumberFormat="0" applyBorder="0" applyProtection="0">
      <alignment wrapText="1"/>
    </xf>
    <xf numFmtId="0" fontId="92" fillId="78" borderId="0" applyNumberFormat="0" applyBorder="0" applyProtection="0">
      <alignment wrapText="1"/>
    </xf>
    <xf numFmtId="0" fontId="92" fillId="79" borderId="0" applyNumberFormat="0" applyBorder="0" applyAlignment="0" applyProtection="0"/>
    <xf numFmtId="0" fontId="92" fillId="78" borderId="0" applyNumberFormat="0" applyBorder="0" applyProtection="0">
      <alignment wrapText="1"/>
    </xf>
    <xf numFmtId="0" fontId="92" fillId="78" borderId="0" applyNumberFormat="0" applyBorder="0" applyProtection="0">
      <alignment wrapText="1"/>
    </xf>
    <xf numFmtId="0" fontId="92" fillId="78" borderId="0" applyNumberFormat="0" applyBorder="0" applyProtection="0">
      <alignment wrapText="1"/>
    </xf>
    <xf numFmtId="0" fontId="92" fillId="78" borderId="0" applyNumberFormat="0" applyBorder="0" applyProtection="0">
      <alignment wrapText="1"/>
    </xf>
    <xf numFmtId="0" fontId="92" fillId="78" borderId="0" applyNumberFormat="0" applyBorder="0" applyProtection="0">
      <alignment wrapText="1"/>
    </xf>
    <xf numFmtId="0" fontId="92" fillId="78" borderId="0" applyNumberFormat="0" applyBorder="0" applyProtection="0">
      <alignment wrapText="1"/>
    </xf>
    <xf numFmtId="0" fontId="92" fillId="78" borderId="0" applyNumberFormat="0" applyBorder="0" applyProtection="0">
      <alignment wrapText="1"/>
    </xf>
    <xf numFmtId="0" fontId="92" fillId="78" borderId="0" applyNumberFormat="0" applyBorder="0" applyProtection="0">
      <alignment wrapText="1"/>
    </xf>
    <xf numFmtId="0" fontId="92" fillId="78" borderId="0" applyNumberFormat="0" applyBorder="0" applyProtection="0">
      <alignment wrapText="1"/>
    </xf>
    <xf numFmtId="0" fontId="92" fillId="78" borderId="0" applyNumberFormat="0" applyBorder="0" applyProtection="0">
      <alignment wrapText="1"/>
    </xf>
    <xf numFmtId="0" fontId="92" fillId="78" borderId="0" applyNumberFormat="0" applyBorder="0" applyProtection="0">
      <alignment wrapText="1"/>
    </xf>
    <xf numFmtId="0" fontId="92" fillId="78" borderId="0" applyNumberFormat="0" applyBorder="0" applyProtection="0">
      <alignment wrapText="1"/>
    </xf>
    <xf numFmtId="0" fontId="92" fillId="78" borderId="0" applyNumberFormat="0" applyBorder="0" applyProtection="0">
      <alignment wrapText="1"/>
    </xf>
    <xf numFmtId="0" fontId="92" fillId="78" borderId="0" applyNumberFormat="0" applyBorder="0" applyProtection="0">
      <alignment wrapText="1"/>
    </xf>
    <xf numFmtId="0" fontId="92" fillId="78" borderId="0" applyNumberFormat="0" applyBorder="0" applyProtection="0">
      <alignment wrapText="1"/>
    </xf>
    <xf numFmtId="0" fontId="92" fillId="78" borderId="0" applyNumberFormat="0" applyBorder="0" applyProtection="0">
      <alignment wrapText="1"/>
    </xf>
    <xf numFmtId="0" fontId="92" fillId="68" borderId="0" applyNumberFormat="0" applyBorder="0" applyProtection="0">
      <alignment wrapText="1"/>
    </xf>
    <xf numFmtId="0" fontId="92" fillId="68" borderId="0" applyNumberFormat="0" applyBorder="0" applyProtection="0">
      <alignment wrapText="1"/>
    </xf>
    <xf numFmtId="0" fontId="92" fillId="68" borderId="0" applyNumberFormat="0" applyBorder="0" applyProtection="0">
      <alignment wrapText="1"/>
    </xf>
    <xf numFmtId="0" fontId="92" fillId="68" borderId="0" applyNumberFormat="0" applyBorder="0" applyProtection="0">
      <alignment wrapText="1"/>
    </xf>
    <xf numFmtId="0" fontId="92" fillId="68" borderId="0" applyNumberFormat="0" applyBorder="0" applyProtection="0">
      <alignment wrapText="1"/>
    </xf>
    <xf numFmtId="0" fontId="92" fillId="68" borderId="0" applyNumberFormat="0" applyBorder="0" applyProtection="0">
      <alignment wrapText="1"/>
    </xf>
    <xf numFmtId="0" fontId="92" fillId="68" borderId="0" applyNumberFormat="0" applyBorder="0" applyProtection="0">
      <alignment wrapText="1"/>
    </xf>
    <xf numFmtId="0" fontId="92" fillId="68" borderId="0" applyNumberFormat="0" applyBorder="0" applyProtection="0">
      <alignment wrapText="1"/>
    </xf>
    <xf numFmtId="0" fontId="92" fillId="68" borderId="0" applyNumberFormat="0" applyBorder="0" applyProtection="0">
      <alignment wrapText="1"/>
    </xf>
    <xf numFmtId="0" fontId="92" fillId="68" borderId="0" applyNumberFormat="0" applyBorder="0" applyProtection="0">
      <alignment wrapText="1"/>
    </xf>
    <xf numFmtId="0" fontId="92" fillId="68" borderId="0" applyNumberFormat="0" applyBorder="0" applyProtection="0">
      <alignment wrapText="1"/>
    </xf>
    <xf numFmtId="0" fontId="92" fillId="68" borderId="0" applyNumberFormat="0" applyBorder="0" applyProtection="0">
      <alignment wrapText="1"/>
    </xf>
    <xf numFmtId="0" fontId="92" fillId="68" borderId="0" applyNumberFormat="0" applyBorder="0" applyProtection="0">
      <alignment wrapText="1"/>
    </xf>
    <xf numFmtId="0" fontId="92" fillId="68" borderId="0" applyNumberFormat="0" applyBorder="0" applyProtection="0">
      <alignment wrapText="1"/>
    </xf>
    <xf numFmtId="0" fontId="92" fillId="68" borderId="0" applyNumberFormat="0" applyBorder="0" applyProtection="0">
      <alignment wrapText="1"/>
    </xf>
    <xf numFmtId="0" fontId="92" fillId="68" borderId="0" applyNumberFormat="0" applyBorder="0" applyProtection="0">
      <alignment wrapText="1"/>
    </xf>
    <xf numFmtId="0" fontId="92" fillId="68" borderId="0" applyNumberFormat="0" applyBorder="0" applyProtection="0">
      <alignment wrapText="1"/>
    </xf>
    <xf numFmtId="0" fontId="92" fillId="68" borderId="0" applyNumberFormat="0" applyBorder="0" applyProtection="0">
      <alignment wrapText="1"/>
    </xf>
    <xf numFmtId="0" fontId="92" fillId="69" borderId="0" applyNumberFormat="0" applyBorder="0" applyAlignment="0" applyProtection="0"/>
    <xf numFmtId="0" fontId="92" fillId="68" borderId="0" applyNumberFormat="0" applyBorder="0" applyProtection="0">
      <alignment wrapText="1"/>
    </xf>
    <xf numFmtId="0" fontId="92" fillId="68" borderId="0" applyNumberFormat="0" applyBorder="0" applyProtection="0">
      <alignment wrapText="1"/>
    </xf>
    <xf numFmtId="0" fontId="92" fillId="68" borderId="0" applyNumberFormat="0" applyBorder="0" applyProtection="0">
      <alignment wrapText="1"/>
    </xf>
    <xf numFmtId="0" fontId="92" fillId="68" borderId="0" applyNumberFormat="0" applyBorder="0" applyProtection="0">
      <alignment wrapText="1"/>
    </xf>
    <xf numFmtId="0" fontId="92" fillId="68" borderId="0" applyNumberFormat="0" applyBorder="0" applyProtection="0">
      <alignment wrapText="1"/>
    </xf>
    <xf numFmtId="0" fontId="92" fillId="68" borderId="0" applyNumberFormat="0" applyBorder="0" applyProtection="0">
      <alignment wrapText="1"/>
    </xf>
    <xf numFmtId="0" fontId="92" fillId="68" borderId="0" applyNumberFormat="0" applyBorder="0" applyProtection="0">
      <alignment wrapText="1"/>
    </xf>
    <xf numFmtId="0" fontId="92" fillId="68" borderId="0" applyNumberFormat="0" applyBorder="0" applyProtection="0">
      <alignment wrapText="1"/>
    </xf>
    <xf numFmtId="0" fontId="92" fillId="68" borderId="0" applyNumberFormat="0" applyBorder="0" applyProtection="0">
      <alignment wrapText="1"/>
    </xf>
    <xf numFmtId="0" fontId="92" fillId="68" borderId="0" applyNumberFormat="0" applyBorder="0" applyProtection="0">
      <alignment wrapText="1"/>
    </xf>
    <xf numFmtId="0" fontId="92" fillId="68" borderId="0" applyNumberFormat="0" applyBorder="0" applyProtection="0">
      <alignment wrapText="1"/>
    </xf>
    <xf numFmtId="0" fontId="92" fillId="68" borderId="0" applyNumberFormat="0" applyBorder="0" applyProtection="0">
      <alignment wrapText="1"/>
    </xf>
    <xf numFmtId="0" fontId="92" fillId="68" borderId="0" applyNumberFormat="0" applyBorder="0" applyProtection="0">
      <alignment wrapText="1"/>
    </xf>
    <xf numFmtId="0" fontId="92" fillId="68" borderId="0" applyNumberFormat="0" applyBorder="0" applyProtection="0">
      <alignment wrapText="1"/>
    </xf>
    <xf numFmtId="0" fontId="92" fillId="68" borderId="0" applyNumberFormat="0" applyBorder="0" applyProtection="0">
      <alignment wrapText="1"/>
    </xf>
    <xf numFmtId="0" fontId="92" fillId="68" borderId="0" applyNumberFormat="0" applyBorder="0" applyProtection="0">
      <alignment wrapText="1"/>
    </xf>
    <xf numFmtId="0" fontId="92" fillId="70" borderId="0" applyNumberFormat="0" applyBorder="0" applyProtection="0">
      <alignment wrapText="1"/>
    </xf>
    <xf numFmtId="0" fontId="92" fillId="70" borderId="0" applyNumberFormat="0" applyBorder="0" applyProtection="0">
      <alignment wrapText="1"/>
    </xf>
    <xf numFmtId="0" fontId="92" fillId="70" borderId="0" applyNumberFormat="0" applyBorder="0" applyProtection="0">
      <alignment wrapText="1"/>
    </xf>
    <xf numFmtId="0" fontId="92" fillId="70" borderId="0" applyNumberFormat="0" applyBorder="0" applyProtection="0">
      <alignment wrapText="1"/>
    </xf>
    <xf numFmtId="0" fontId="92" fillId="70" borderId="0" applyNumberFormat="0" applyBorder="0" applyProtection="0">
      <alignment wrapText="1"/>
    </xf>
    <xf numFmtId="0" fontId="92" fillId="70" borderId="0" applyNumberFormat="0" applyBorder="0" applyProtection="0">
      <alignment wrapText="1"/>
    </xf>
    <xf numFmtId="0" fontId="92" fillId="70" borderId="0" applyNumberFormat="0" applyBorder="0" applyProtection="0">
      <alignment wrapText="1"/>
    </xf>
    <xf numFmtId="0" fontId="92" fillId="70" borderId="0" applyNumberFormat="0" applyBorder="0" applyProtection="0">
      <alignment wrapText="1"/>
    </xf>
    <xf numFmtId="0" fontId="92" fillId="70" borderId="0" applyNumberFormat="0" applyBorder="0" applyProtection="0">
      <alignment wrapText="1"/>
    </xf>
    <xf numFmtId="0" fontId="92" fillId="70" borderId="0" applyNumberFormat="0" applyBorder="0" applyProtection="0">
      <alignment wrapText="1"/>
    </xf>
    <xf numFmtId="0" fontId="92" fillId="70" borderId="0" applyNumberFormat="0" applyBorder="0" applyProtection="0">
      <alignment wrapText="1"/>
    </xf>
    <xf numFmtId="0" fontId="92" fillId="70" borderId="0" applyNumberFormat="0" applyBorder="0" applyProtection="0">
      <alignment wrapText="1"/>
    </xf>
    <xf numFmtId="0" fontId="92" fillId="70" borderId="0" applyNumberFormat="0" applyBorder="0" applyProtection="0">
      <alignment wrapText="1"/>
    </xf>
    <xf numFmtId="0" fontId="92" fillId="70" borderId="0" applyNumberFormat="0" applyBorder="0" applyProtection="0">
      <alignment wrapText="1"/>
    </xf>
    <xf numFmtId="0" fontId="92" fillId="70" borderId="0" applyNumberFormat="0" applyBorder="0" applyProtection="0">
      <alignment wrapText="1"/>
    </xf>
    <xf numFmtId="0" fontId="92" fillId="70" borderId="0" applyNumberFormat="0" applyBorder="0" applyProtection="0">
      <alignment wrapText="1"/>
    </xf>
    <xf numFmtId="0" fontId="92" fillId="70" borderId="0" applyNumberFormat="0" applyBorder="0" applyProtection="0">
      <alignment wrapText="1"/>
    </xf>
    <xf numFmtId="0" fontId="92" fillId="70" borderId="0" applyNumberFormat="0" applyBorder="0" applyProtection="0">
      <alignment wrapText="1"/>
    </xf>
    <xf numFmtId="0" fontId="92" fillId="71" borderId="0" applyNumberFormat="0" applyBorder="0" applyAlignment="0" applyProtection="0"/>
    <xf numFmtId="0" fontId="92" fillId="70" borderId="0" applyNumberFormat="0" applyBorder="0" applyProtection="0">
      <alignment wrapText="1"/>
    </xf>
    <xf numFmtId="0" fontId="92" fillId="70" borderId="0" applyNumberFormat="0" applyBorder="0" applyProtection="0">
      <alignment wrapText="1"/>
    </xf>
    <xf numFmtId="0" fontId="92" fillId="70" borderId="0" applyNumberFormat="0" applyBorder="0" applyProtection="0">
      <alignment wrapText="1"/>
    </xf>
    <xf numFmtId="0" fontId="92" fillId="70" borderId="0" applyNumberFormat="0" applyBorder="0" applyProtection="0">
      <alignment wrapText="1"/>
    </xf>
    <xf numFmtId="0" fontId="92" fillId="70" borderId="0" applyNumberFormat="0" applyBorder="0" applyProtection="0">
      <alignment wrapText="1"/>
    </xf>
    <xf numFmtId="0" fontId="92" fillId="70" borderId="0" applyNumberFormat="0" applyBorder="0" applyProtection="0">
      <alignment wrapText="1"/>
    </xf>
    <xf numFmtId="0" fontId="92" fillId="70" borderId="0" applyNumberFormat="0" applyBorder="0" applyProtection="0">
      <alignment wrapText="1"/>
    </xf>
    <xf numFmtId="0" fontId="92" fillId="70" borderId="0" applyNumberFormat="0" applyBorder="0" applyProtection="0">
      <alignment wrapText="1"/>
    </xf>
    <xf numFmtId="0" fontId="92" fillId="70" borderId="0" applyNumberFormat="0" applyBorder="0" applyProtection="0">
      <alignment wrapText="1"/>
    </xf>
    <xf numFmtId="0" fontId="92" fillId="70" borderId="0" applyNumberFormat="0" applyBorder="0" applyProtection="0">
      <alignment wrapText="1"/>
    </xf>
    <xf numFmtId="0" fontId="92" fillId="70" borderId="0" applyNumberFormat="0" applyBorder="0" applyProtection="0">
      <alignment wrapText="1"/>
    </xf>
    <xf numFmtId="0" fontId="92" fillId="70" borderId="0" applyNumberFormat="0" applyBorder="0" applyProtection="0">
      <alignment wrapText="1"/>
    </xf>
    <xf numFmtId="0" fontId="92" fillId="70" borderId="0" applyNumberFormat="0" applyBorder="0" applyProtection="0">
      <alignment wrapText="1"/>
    </xf>
    <xf numFmtId="0" fontId="92" fillId="70" borderId="0" applyNumberFormat="0" applyBorder="0" applyProtection="0">
      <alignment wrapText="1"/>
    </xf>
    <xf numFmtId="0" fontId="92" fillId="70" borderId="0" applyNumberFormat="0" applyBorder="0" applyProtection="0">
      <alignment wrapText="1"/>
    </xf>
    <xf numFmtId="0" fontId="92" fillId="70" borderId="0" applyNumberFormat="0" applyBorder="0" applyProtection="0">
      <alignment wrapText="1"/>
    </xf>
    <xf numFmtId="0" fontId="92" fillId="80" borderId="0" applyNumberFormat="0" applyBorder="0" applyProtection="0">
      <alignment wrapText="1"/>
    </xf>
    <xf numFmtId="0" fontId="92" fillId="80" borderId="0" applyNumberFormat="0" applyBorder="0" applyProtection="0">
      <alignment wrapText="1"/>
    </xf>
    <xf numFmtId="0" fontId="92" fillId="80" borderId="0" applyNumberFormat="0" applyBorder="0" applyProtection="0">
      <alignment wrapText="1"/>
    </xf>
    <xf numFmtId="0" fontId="92" fillId="80" borderId="0" applyNumberFormat="0" applyBorder="0" applyProtection="0">
      <alignment wrapText="1"/>
    </xf>
    <xf numFmtId="0" fontId="92" fillId="80" borderId="0" applyNumberFormat="0" applyBorder="0" applyProtection="0">
      <alignment wrapText="1"/>
    </xf>
    <xf numFmtId="0" fontId="92" fillId="80" borderId="0" applyNumberFormat="0" applyBorder="0" applyProtection="0">
      <alignment wrapText="1"/>
    </xf>
    <xf numFmtId="0" fontId="92" fillId="80" borderId="0" applyNumberFormat="0" applyBorder="0" applyProtection="0">
      <alignment wrapText="1"/>
    </xf>
    <xf numFmtId="0" fontId="92" fillId="80" borderId="0" applyNumberFormat="0" applyBorder="0" applyProtection="0">
      <alignment wrapText="1"/>
    </xf>
    <xf numFmtId="0" fontId="92" fillId="80" borderId="0" applyNumberFormat="0" applyBorder="0" applyProtection="0">
      <alignment wrapText="1"/>
    </xf>
    <xf numFmtId="0" fontId="92" fillId="80" borderId="0" applyNumberFormat="0" applyBorder="0" applyProtection="0">
      <alignment wrapText="1"/>
    </xf>
    <xf numFmtId="0" fontId="92" fillId="80" borderId="0" applyNumberFormat="0" applyBorder="0" applyProtection="0">
      <alignment wrapText="1"/>
    </xf>
    <xf numFmtId="0" fontId="92" fillId="80" borderId="0" applyNumberFormat="0" applyBorder="0" applyProtection="0">
      <alignment wrapText="1"/>
    </xf>
    <xf numFmtId="0" fontId="92" fillId="80" borderId="0" applyNumberFormat="0" applyBorder="0" applyProtection="0">
      <alignment wrapText="1"/>
    </xf>
    <xf numFmtId="0" fontId="92" fillId="80" borderId="0" applyNumberFormat="0" applyBorder="0" applyProtection="0">
      <alignment wrapText="1"/>
    </xf>
    <xf numFmtId="0" fontId="92" fillId="80" borderId="0" applyNumberFormat="0" applyBorder="0" applyProtection="0">
      <alignment wrapText="1"/>
    </xf>
    <xf numFmtId="0" fontId="92" fillId="80" borderId="0" applyNumberFormat="0" applyBorder="0" applyProtection="0">
      <alignment wrapText="1"/>
    </xf>
    <xf numFmtId="0" fontId="92" fillId="80" borderId="0" applyNumberFormat="0" applyBorder="0" applyProtection="0">
      <alignment wrapText="1"/>
    </xf>
    <xf numFmtId="0" fontId="92" fillId="80" borderId="0" applyNumberFormat="0" applyBorder="0" applyProtection="0">
      <alignment wrapText="1"/>
    </xf>
    <xf numFmtId="0" fontId="92" fillId="81" borderId="0" applyNumberFormat="0" applyBorder="0" applyAlignment="0" applyProtection="0"/>
    <xf numFmtId="0" fontId="92" fillId="80" borderId="0" applyNumberFormat="0" applyBorder="0" applyProtection="0">
      <alignment wrapText="1"/>
    </xf>
    <xf numFmtId="0" fontId="92" fillId="80" borderId="0" applyNumberFormat="0" applyBorder="0" applyProtection="0">
      <alignment wrapText="1"/>
    </xf>
    <xf numFmtId="0" fontId="92" fillId="80" borderId="0" applyNumberFormat="0" applyBorder="0" applyProtection="0">
      <alignment wrapText="1"/>
    </xf>
    <xf numFmtId="0" fontId="92" fillId="80" borderId="0" applyNumberFormat="0" applyBorder="0" applyProtection="0">
      <alignment wrapText="1"/>
    </xf>
    <xf numFmtId="0" fontId="92" fillId="80" borderId="0" applyNumberFormat="0" applyBorder="0" applyProtection="0">
      <alignment wrapText="1"/>
    </xf>
    <xf numFmtId="0" fontId="92" fillId="80" borderId="0" applyNumberFormat="0" applyBorder="0" applyProtection="0">
      <alignment wrapText="1"/>
    </xf>
    <xf numFmtId="0" fontId="92" fillId="80" borderId="0" applyNumberFormat="0" applyBorder="0" applyProtection="0">
      <alignment wrapText="1"/>
    </xf>
    <xf numFmtId="0" fontId="92" fillId="80" borderId="0" applyNumberFormat="0" applyBorder="0" applyProtection="0">
      <alignment wrapText="1"/>
    </xf>
    <xf numFmtId="0" fontId="92" fillId="80" borderId="0" applyNumberFormat="0" applyBorder="0" applyProtection="0">
      <alignment wrapText="1"/>
    </xf>
    <xf numFmtId="0" fontId="92" fillId="80" borderId="0" applyNumberFormat="0" applyBorder="0" applyProtection="0">
      <alignment wrapText="1"/>
    </xf>
    <xf numFmtId="0" fontId="92" fillId="80" borderId="0" applyNumberFormat="0" applyBorder="0" applyProtection="0">
      <alignment wrapText="1"/>
    </xf>
    <xf numFmtId="0" fontId="92" fillId="80" borderId="0" applyNumberFormat="0" applyBorder="0" applyProtection="0">
      <alignment wrapText="1"/>
    </xf>
    <xf numFmtId="0" fontId="92" fillId="80" borderId="0" applyNumberFormat="0" applyBorder="0" applyProtection="0">
      <alignment wrapText="1"/>
    </xf>
    <xf numFmtId="0" fontId="92" fillId="80" borderId="0" applyNumberFormat="0" applyBorder="0" applyProtection="0">
      <alignment wrapText="1"/>
    </xf>
    <xf numFmtId="0" fontId="92" fillId="80" borderId="0" applyNumberFormat="0" applyBorder="0" applyProtection="0">
      <alignment wrapText="1"/>
    </xf>
    <xf numFmtId="0" fontId="92" fillId="80" borderId="0" applyNumberFormat="0" applyBorder="0" applyProtection="0">
      <alignment wrapText="1"/>
    </xf>
    <xf numFmtId="0" fontId="93" fillId="82" borderId="86" applyNumberFormat="0" applyAlignment="0" applyProtection="0"/>
    <xf numFmtId="0" fontId="94" fillId="48" borderId="0" applyNumberFormat="0" applyBorder="0" applyProtection="0">
      <alignment wrapText="1"/>
    </xf>
    <xf numFmtId="0" fontId="94" fillId="48" borderId="0" applyNumberFormat="0" applyBorder="0" applyProtection="0">
      <alignment wrapText="1"/>
    </xf>
    <xf numFmtId="0" fontId="94" fillId="48" borderId="0" applyNumberFormat="0" applyBorder="0" applyProtection="0">
      <alignment wrapText="1"/>
    </xf>
    <xf numFmtId="0" fontId="94" fillId="48" borderId="0" applyNumberFormat="0" applyBorder="0" applyProtection="0">
      <alignment wrapText="1"/>
    </xf>
    <xf numFmtId="0" fontId="94" fillId="48" borderId="0" applyNumberFormat="0" applyBorder="0" applyProtection="0">
      <alignment wrapText="1"/>
    </xf>
    <xf numFmtId="0" fontId="94" fillId="48" borderId="0" applyNumberFormat="0" applyBorder="0" applyProtection="0">
      <alignment wrapText="1"/>
    </xf>
    <xf numFmtId="0" fontId="94" fillId="48" borderId="0" applyNumberFormat="0" applyBorder="0" applyProtection="0">
      <alignment wrapText="1"/>
    </xf>
    <xf numFmtId="0" fontId="94" fillId="48" borderId="0" applyNumberFormat="0" applyBorder="0" applyProtection="0">
      <alignment wrapText="1"/>
    </xf>
    <xf numFmtId="0" fontId="94" fillId="48" borderId="0" applyNumberFormat="0" applyBorder="0" applyProtection="0">
      <alignment wrapText="1"/>
    </xf>
    <xf numFmtId="0" fontId="94" fillId="48" borderId="0" applyNumberFormat="0" applyBorder="0" applyProtection="0">
      <alignment wrapText="1"/>
    </xf>
    <xf numFmtId="0" fontId="94" fillId="48" borderId="0" applyNumberFormat="0" applyBorder="0" applyProtection="0">
      <alignment wrapText="1"/>
    </xf>
    <xf numFmtId="0" fontId="94" fillId="48" borderId="0" applyNumberFormat="0" applyBorder="0" applyProtection="0">
      <alignment wrapText="1"/>
    </xf>
    <xf numFmtId="0" fontId="94" fillId="48" borderId="0" applyNumberFormat="0" applyBorder="0" applyProtection="0">
      <alignment wrapText="1"/>
    </xf>
    <xf numFmtId="0" fontId="94" fillId="48" borderId="0" applyNumberFormat="0" applyBorder="0" applyProtection="0">
      <alignment wrapText="1"/>
    </xf>
    <xf numFmtId="0" fontId="94" fillId="48" borderId="0" applyNumberFormat="0" applyBorder="0" applyProtection="0">
      <alignment wrapText="1"/>
    </xf>
    <xf numFmtId="0" fontId="94" fillId="48" borderId="0" applyNumberFormat="0" applyBorder="0" applyProtection="0">
      <alignment wrapText="1"/>
    </xf>
    <xf numFmtId="0" fontId="94" fillId="48" borderId="0" applyNumberFormat="0" applyBorder="0" applyProtection="0">
      <alignment wrapText="1"/>
    </xf>
    <xf numFmtId="0" fontId="94" fillId="48" borderId="0" applyNumberFormat="0" applyBorder="0" applyProtection="0">
      <alignment wrapText="1"/>
    </xf>
    <xf numFmtId="0" fontId="94" fillId="49" borderId="0" applyNumberFormat="0" applyBorder="0" applyAlignment="0" applyProtection="0"/>
    <xf numFmtId="0" fontId="94" fillId="48" borderId="0" applyNumberFormat="0" applyBorder="0" applyProtection="0">
      <alignment wrapText="1"/>
    </xf>
    <xf numFmtId="0" fontId="94" fillId="48" borderId="0" applyNumberFormat="0" applyBorder="0" applyProtection="0">
      <alignment wrapText="1"/>
    </xf>
    <xf numFmtId="0" fontId="94" fillId="48" borderId="0" applyNumberFormat="0" applyBorder="0" applyProtection="0">
      <alignment wrapText="1"/>
    </xf>
    <xf numFmtId="0" fontId="94" fillId="48" borderId="0" applyNumberFormat="0" applyBorder="0" applyProtection="0">
      <alignment wrapText="1"/>
    </xf>
    <xf numFmtId="0" fontId="94" fillId="48" borderId="0" applyNumberFormat="0" applyBorder="0" applyProtection="0">
      <alignment wrapText="1"/>
    </xf>
    <xf numFmtId="0" fontId="94" fillId="48" borderId="0" applyNumberFormat="0" applyBorder="0" applyProtection="0">
      <alignment wrapText="1"/>
    </xf>
    <xf numFmtId="0" fontId="94" fillId="48" borderId="0" applyNumberFormat="0" applyBorder="0" applyProtection="0">
      <alignment wrapText="1"/>
    </xf>
    <xf numFmtId="0" fontId="94" fillId="48" borderId="0" applyNumberFormat="0" applyBorder="0" applyProtection="0">
      <alignment wrapText="1"/>
    </xf>
    <xf numFmtId="0" fontId="94" fillId="48" borderId="0" applyNumberFormat="0" applyBorder="0" applyProtection="0">
      <alignment wrapText="1"/>
    </xf>
    <xf numFmtId="0" fontId="94" fillId="48" borderId="0" applyNumberFormat="0" applyBorder="0" applyProtection="0">
      <alignment wrapText="1"/>
    </xf>
    <xf numFmtId="0" fontId="94" fillId="48" borderId="0" applyNumberFormat="0" applyBorder="0" applyProtection="0">
      <alignment wrapText="1"/>
    </xf>
    <xf numFmtId="0" fontId="94" fillId="48" borderId="0" applyNumberFormat="0" applyBorder="0" applyProtection="0">
      <alignment wrapText="1"/>
    </xf>
    <xf numFmtId="0" fontId="94" fillId="48" borderId="0" applyNumberFormat="0" applyBorder="0" applyProtection="0">
      <alignment wrapText="1"/>
    </xf>
    <xf numFmtId="0" fontId="94" fillId="48" borderId="0" applyNumberFormat="0" applyBorder="0" applyProtection="0">
      <alignment wrapText="1"/>
    </xf>
    <xf numFmtId="0" fontId="94" fillId="48" borderId="0" applyNumberFormat="0" applyBorder="0" applyProtection="0">
      <alignment wrapText="1"/>
    </xf>
    <xf numFmtId="0" fontId="94" fillId="48" borderId="0" applyNumberFormat="0" applyBorder="0" applyProtection="0">
      <alignment wrapText="1"/>
    </xf>
    <xf numFmtId="0" fontId="93" fillId="83" borderId="86" applyNumberFormat="0" applyProtection="0">
      <alignment wrapText="1"/>
    </xf>
    <xf numFmtId="0" fontId="93" fillId="83" borderId="86" applyNumberFormat="0" applyProtection="0">
      <alignment wrapText="1"/>
    </xf>
    <xf numFmtId="0" fontId="93" fillId="83" borderId="86" applyNumberFormat="0" applyProtection="0">
      <alignment wrapText="1"/>
    </xf>
    <xf numFmtId="0" fontId="93" fillId="83" borderId="86" applyNumberFormat="0" applyProtection="0">
      <alignment wrapText="1"/>
    </xf>
    <xf numFmtId="0" fontId="93" fillId="83" borderId="86" applyNumberFormat="0" applyProtection="0">
      <alignment wrapText="1"/>
    </xf>
    <xf numFmtId="0" fontId="93" fillId="83" borderId="86" applyNumberFormat="0" applyProtection="0">
      <alignment wrapText="1"/>
    </xf>
    <xf numFmtId="0" fontId="93" fillId="83" borderId="86" applyNumberFormat="0" applyProtection="0">
      <alignment wrapText="1"/>
    </xf>
    <xf numFmtId="0" fontId="93" fillId="83" borderId="86" applyNumberFormat="0" applyProtection="0">
      <alignment wrapText="1"/>
    </xf>
    <xf numFmtId="0" fontId="93" fillId="83" borderId="86" applyNumberFormat="0" applyProtection="0">
      <alignment wrapText="1"/>
    </xf>
    <xf numFmtId="0" fontId="93" fillId="83" borderId="86" applyNumberFormat="0" applyProtection="0">
      <alignment wrapText="1"/>
    </xf>
    <xf numFmtId="0" fontId="93" fillId="83" borderId="86" applyNumberFormat="0" applyProtection="0">
      <alignment wrapText="1"/>
    </xf>
    <xf numFmtId="0" fontId="93" fillId="83" borderId="86" applyNumberFormat="0" applyProtection="0">
      <alignment wrapText="1"/>
    </xf>
    <xf numFmtId="0" fontId="93" fillId="83" borderId="86" applyNumberFormat="0" applyProtection="0">
      <alignment wrapText="1"/>
    </xf>
    <xf numFmtId="0" fontId="93" fillId="83" borderId="86" applyNumberFormat="0" applyProtection="0">
      <alignment wrapText="1"/>
    </xf>
    <xf numFmtId="0" fontId="93" fillId="83" borderId="86" applyNumberFormat="0" applyProtection="0">
      <alignment wrapText="1"/>
    </xf>
    <xf numFmtId="0" fontId="93" fillId="83" borderId="86" applyNumberFormat="0" applyProtection="0">
      <alignment wrapText="1"/>
    </xf>
    <xf numFmtId="0" fontId="93" fillId="83" borderId="86" applyNumberFormat="0" applyProtection="0">
      <alignment wrapText="1"/>
    </xf>
    <xf numFmtId="0" fontId="93" fillId="83" borderId="86" applyNumberFormat="0" applyProtection="0">
      <alignment wrapText="1"/>
    </xf>
    <xf numFmtId="0" fontId="93" fillId="83" borderId="86" applyNumberFormat="0" applyProtection="0">
      <alignment wrapText="1"/>
    </xf>
    <xf numFmtId="0" fontId="93" fillId="83" borderId="86" applyNumberFormat="0" applyProtection="0">
      <alignment wrapText="1"/>
    </xf>
    <xf numFmtId="0" fontId="93" fillId="83" borderId="86" applyNumberFormat="0" applyProtection="0">
      <alignment wrapText="1"/>
    </xf>
    <xf numFmtId="0" fontId="93" fillId="83" borderId="86" applyNumberFormat="0" applyProtection="0">
      <alignment wrapText="1"/>
    </xf>
    <xf numFmtId="0" fontId="93" fillId="83" borderId="86" applyNumberFormat="0" applyProtection="0">
      <alignment wrapText="1"/>
    </xf>
    <xf numFmtId="0" fontId="93" fillId="83" borderId="86" applyNumberFormat="0" applyProtection="0">
      <alignment wrapText="1"/>
    </xf>
    <xf numFmtId="0" fontId="93" fillId="83" borderId="86" applyNumberFormat="0" applyProtection="0">
      <alignment wrapText="1"/>
    </xf>
    <xf numFmtId="0" fontId="93" fillId="83" borderId="86" applyNumberFormat="0" applyProtection="0">
      <alignment wrapText="1"/>
    </xf>
    <xf numFmtId="0" fontId="93" fillId="83" borderId="86" applyNumberFormat="0" applyProtection="0">
      <alignment wrapText="1"/>
    </xf>
    <xf numFmtId="0" fontId="93" fillId="82" borderId="86" applyNumberFormat="0" applyAlignment="0" applyProtection="0"/>
    <xf numFmtId="0" fontId="93" fillId="82" borderId="86" applyNumberFormat="0" applyAlignment="0" applyProtection="0"/>
    <xf numFmtId="0" fontId="93" fillId="83" borderId="86" applyNumberFormat="0" applyProtection="0">
      <alignment wrapText="1"/>
    </xf>
    <xf numFmtId="0" fontId="93" fillId="83" borderId="86" applyNumberFormat="0" applyProtection="0">
      <alignment wrapText="1"/>
    </xf>
    <xf numFmtId="0" fontId="93" fillId="82" borderId="86" applyNumberFormat="0" applyAlignment="0" applyProtection="0"/>
    <xf numFmtId="0" fontId="93" fillId="82" borderId="86" applyNumberFormat="0" applyAlignment="0" applyProtection="0"/>
    <xf numFmtId="0" fontId="93" fillId="82" borderId="86" applyNumberFormat="0" applyAlignment="0" applyProtection="0"/>
    <xf numFmtId="0" fontId="93" fillId="82" borderId="86" applyNumberFormat="0" applyAlignment="0" applyProtection="0"/>
    <xf numFmtId="0" fontId="93" fillId="82" borderId="86" applyNumberFormat="0" applyAlignment="0" applyProtection="0"/>
    <xf numFmtId="0" fontId="93" fillId="82" borderId="86" applyNumberFormat="0" applyAlignment="0" applyProtection="0"/>
    <xf numFmtId="0" fontId="93" fillId="82" borderId="86" applyNumberFormat="0" applyAlignment="0" applyProtection="0"/>
    <xf numFmtId="0" fontId="93" fillId="82" borderId="86" applyNumberFormat="0" applyAlignment="0" applyProtection="0"/>
    <xf numFmtId="0" fontId="93" fillId="82" borderId="86" applyNumberFormat="0" applyAlignment="0" applyProtection="0"/>
    <xf numFmtId="0" fontId="93" fillId="82" borderId="86" applyNumberFormat="0" applyAlignment="0" applyProtection="0"/>
    <xf numFmtId="0" fontId="93" fillId="82" borderId="86" applyNumberFormat="0" applyAlignment="0" applyProtection="0"/>
    <xf numFmtId="0" fontId="93" fillId="83" borderId="86" applyNumberFormat="0" applyProtection="0">
      <alignment wrapText="1"/>
    </xf>
    <xf numFmtId="0" fontId="93" fillId="83" borderId="86" applyNumberFormat="0" applyProtection="0">
      <alignment wrapText="1"/>
    </xf>
    <xf numFmtId="0" fontId="93" fillId="83" borderId="86" applyNumberFormat="0" applyProtection="0">
      <alignment wrapText="1"/>
    </xf>
    <xf numFmtId="0" fontId="93" fillId="82" borderId="86" applyNumberFormat="0" applyAlignment="0" applyProtection="0"/>
    <xf numFmtId="0" fontId="93" fillId="82" borderId="86" applyNumberFormat="0" applyAlignment="0" applyProtection="0"/>
    <xf numFmtId="0" fontId="93" fillId="82" borderId="86" applyNumberFormat="0" applyAlignment="0" applyProtection="0"/>
    <xf numFmtId="0" fontId="93" fillId="82" borderId="86" applyNumberFormat="0" applyAlignment="0" applyProtection="0"/>
    <xf numFmtId="0" fontId="93" fillId="82" borderId="86" applyNumberFormat="0" applyAlignment="0" applyProtection="0"/>
    <xf numFmtId="0" fontId="93" fillId="82" borderId="86" applyNumberFormat="0" applyAlignment="0" applyProtection="0"/>
    <xf numFmtId="0" fontId="93" fillId="82" borderId="86" applyNumberFormat="0" applyAlignment="0" applyProtection="0"/>
    <xf numFmtId="0" fontId="93" fillId="82" borderId="86" applyNumberFormat="0" applyAlignment="0" applyProtection="0"/>
    <xf numFmtId="0" fontId="93" fillId="82" borderId="86" applyNumberFormat="0" applyAlignment="0" applyProtection="0"/>
    <xf numFmtId="0" fontId="93" fillId="82" borderId="86" applyNumberFormat="0" applyAlignment="0" applyProtection="0"/>
    <xf numFmtId="0" fontId="93" fillId="83" borderId="86" applyNumberFormat="0" applyProtection="0">
      <alignment wrapText="1"/>
    </xf>
    <xf numFmtId="0" fontId="93" fillId="83" borderId="86" applyNumberFormat="0" applyProtection="0">
      <alignment wrapText="1"/>
    </xf>
    <xf numFmtId="0" fontId="93" fillId="83" borderId="86" applyNumberFormat="0" applyProtection="0">
      <alignment wrapText="1"/>
    </xf>
    <xf numFmtId="0" fontId="93" fillId="82" borderId="86" applyNumberFormat="0" applyAlignment="0" applyProtection="0"/>
    <xf numFmtId="0" fontId="93" fillId="82" borderId="86" applyNumberFormat="0" applyAlignment="0" applyProtection="0"/>
    <xf numFmtId="0" fontId="93" fillId="82" borderId="86" applyNumberFormat="0" applyAlignment="0" applyProtection="0"/>
    <xf numFmtId="0" fontId="93" fillId="82" borderId="86" applyNumberFormat="0" applyAlignment="0" applyProtection="0"/>
    <xf numFmtId="0" fontId="93" fillId="82" borderId="86" applyNumberFormat="0" applyAlignment="0" applyProtection="0"/>
    <xf numFmtId="0" fontId="93" fillId="82" borderId="86" applyNumberFormat="0" applyAlignment="0" applyProtection="0"/>
    <xf numFmtId="0" fontId="93" fillId="82" borderId="86" applyNumberFormat="0" applyAlignment="0" applyProtection="0"/>
    <xf numFmtId="0" fontId="93" fillId="82" borderId="86" applyNumberFormat="0" applyAlignment="0" applyProtection="0"/>
    <xf numFmtId="0" fontId="93" fillId="82" borderId="86" applyNumberFormat="0" applyAlignment="0" applyProtection="0"/>
    <xf numFmtId="0" fontId="93" fillId="82" borderId="86" applyNumberFormat="0" applyAlignment="0" applyProtection="0"/>
    <xf numFmtId="0" fontId="93" fillId="83" borderId="86" applyNumberFormat="0" applyProtection="0">
      <alignment wrapText="1"/>
    </xf>
    <xf numFmtId="0" fontId="93" fillId="83" borderId="86" applyNumberFormat="0" applyProtection="0">
      <alignment wrapText="1"/>
    </xf>
    <xf numFmtId="0" fontId="93" fillId="83" borderId="86" applyNumberFormat="0" applyProtection="0">
      <alignment wrapText="1"/>
    </xf>
    <xf numFmtId="0" fontId="93" fillId="82" borderId="86" applyNumberFormat="0" applyAlignment="0" applyProtection="0"/>
    <xf numFmtId="0" fontId="93" fillId="82" borderId="86" applyNumberFormat="0" applyAlignment="0" applyProtection="0"/>
    <xf numFmtId="0" fontId="93" fillId="82" borderId="86" applyNumberFormat="0" applyAlignment="0" applyProtection="0"/>
    <xf numFmtId="0" fontId="93" fillId="82" borderId="86" applyNumberFormat="0" applyAlignment="0" applyProtection="0"/>
    <xf numFmtId="0" fontId="93" fillId="82" borderId="86" applyNumberFormat="0" applyAlignment="0" applyProtection="0"/>
    <xf numFmtId="0" fontId="93" fillId="82" borderId="86" applyNumberFormat="0" applyAlignment="0" applyProtection="0"/>
    <xf numFmtId="0" fontId="93" fillId="82" borderId="86" applyNumberFormat="0" applyAlignment="0" applyProtection="0"/>
    <xf numFmtId="0" fontId="93" fillId="82" borderId="86" applyNumberFormat="0" applyAlignment="0" applyProtection="0"/>
    <xf numFmtId="0" fontId="93" fillId="82" borderId="86" applyNumberFormat="0" applyAlignment="0" applyProtection="0"/>
    <xf numFmtId="0" fontId="93" fillId="82" borderId="86" applyNumberFormat="0" applyAlignment="0" applyProtection="0"/>
    <xf numFmtId="0" fontId="93" fillId="83" borderId="86" applyNumberFormat="0" applyProtection="0">
      <alignment wrapText="1"/>
    </xf>
    <xf numFmtId="0" fontId="93" fillId="83" borderId="86" applyNumberFormat="0" applyProtection="0">
      <alignment wrapText="1"/>
    </xf>
    <xf numFmtId="0" fontId="93" fillId="83" borderId="86" applyNumberFormat="0" applyProtection="0">
      <alignment wrapText="1"/>
    </xf>
    <xf numFmtId="0" fontId="93" fillId="82" borderId="86" applyNumberFormat="0" applyAlignment="0" applyProtection="0"/>
    <xf numFmtId="0" fontId="93" fillId="82" borderId="86" applyNumberFormat="0" applyAlignment="0" applyProtection="0"/>
    <xf numFmtId="0" fontId="93" fillId="82" borderId="86" applyNumberFormat="0" applyAlignment="0" applyProtection="0"/>
    <xf numFmtId="0" fontId="93" fillId="82" borderId="86" applyNumberFormat="0" applyAlignment="0" applyProtection="0"/>
    <xf numFmtId="0" fontId="93" fillId="82" borderId="86" applyNumberFormat="0" applyAlignment="0" applyProtection="0"/>
    <xf numFmtId="0" fontId="93" fillId="82" borderId="86" applyNumberFormat="0" applyAlignment="0" applyProtection="0"/>
    <xf numFmtId="0" fontId="93" fillId="82" borderId="86" applyNumberFormat="0" applyAlignment="0" applyProtection="0"/>
    <xf numFmtId="0" fontId="93" fillId="82" borderId="86" applyNumberFormat="0" applyAlignment="0" applyProtection="0"/>
    <xf numFmtId="0" fontId="93" fillId="82" borderId="86" applyNumberFormat="0" applyAlignment="0" applyProtection="0"/>
    <xf numFmtId="0" fontId="93" fillId="82" borderId="86" applyNumberFormat="0" applyAlignment="0" applyProtection="0"/>
    <xf numFmtId="0" fontId="93" fillId="83" borderId="86" applyNumberFormat="0" applyProtection="0">
      <alignment wrapText="1"/>
    </xf>
    <xf numFmtId="0" fontId="93" fillId="83" borderId="86" applyNumberFormat="0" applyProtection="0">
      <alignment wrapText="1"/>
    </xf>
    <xf numFmtId="0" fontId="93" fillId="83" borderId="86" applyNumberFormat="0" applyProtection="0">
      <alignment wrapText="1"/>
    </xf>
    <xf numFmtId="0" fontId="93" fillId="82" borderId="86" applyNumberFormat="0" applyAlignment="0" applyProtection="0"/>
    <xf numFmtId="0" fontId="93" fillId="82" borderId="86" applyNumberFormat="0" applyAlignment="0" applyProtection="0"/>
    <xf numFmtId="0" fontId="93" fillId="82" borderId="86" applyNumberFormat="0" applyAlignment="0" applyProtection="0"/>
    <xf numFmtId="0" fontId="93" fillId="83" borderId="86" applyNumberFormat="0" applyProtection="0">
      <alignment wrapText="1"/>
    </xf>
    <xf numFmtId="0" fontId="93" fillId="83" borderId="86" applyNumberFormat="0" applyProtection="0">
      <alignment wrapText="1"/>
    </xf>
    <xf numFmtId="0" fontId="93" fillId="83" borderId="86" applyNumberFormat="0" applyProtection="0">
      <alignment wrapText="1"/>
    </xf>
    <xf numFmtId="0" fontId="93" fillId="83" borderId="86" applyNumberFormat="0" applyProtection="0">
      <alignment wrapText="1"/>
    </xf>
    <xf numFmtId="0" fontId="93" fillId="83" borderId="86" applyNumberFormat="0" applyProtection="0">
      <alignment wrapText="1"/>
    </xf>
    <xf numFmtId="0" fontId="93" fillId="83" borderId="86" applyNumberFormat="0" applyProtection="0">
      <alignment wrapText="1"/>
    </xf>
    <xf numFmtId="0" fontId="95" fillId="84" borderId="87" applyNumberFormat="0" applyProtection="0">
      <alignment wrapText="1"/>
    </xf>
    <xf numFmtId="0" fontId="95" fillId="84" borderId="87" applyNumberFormat="0" applyProtection="0">
      <alignment wrapText="1"/>
    </xf>
    <xf numFmtId="0" fontId="95" fillId="84" borderId="87" applyNumberFormat="0" applyProtection="0">
      <alignment wrapText="1"/>
    </xf>
    <xf numFmtId="0" fontId="95" fillId="84" borderId="87" applyNumberFormat="0" applyProtection="0">
      <alignment wrapText="1"/>
    </xf>
    <xf numFmtId="0" fontId="95" fillId="84" borderId="87" applyNumberFormat="0" applyProtection="0">
      <alignment wrapText="1"/>
    </xf>
    <xf numFmtId="0" fontId="95" fillId="84" borderId="87" applyNumberFormat="0" applyProtection="0">
      <alignment wrapText="1"/>
    </xf>
    <xf numFmtId="0" fontId="95" fillId="84" borderId="87" applyNumberFormat="0" applyProtection="0">
      <alignment wrapText="1"/>
    </xf>
    <xf numFmtId="0" fontId="95" fillId="84" borderId="87" applyNumberFormat="0" applyProtection="0">
      <alignment wrapText="1"/>
    </xf>
    <xf numFmtId="0" fontId="95" fillId="84" borderId="87" applyNumberFormat="0" applyProtection="0">
      <alignment wrapText="1"/>
    </xf>
    <xf numFmtId="0" fontId="95" fillId="84" borderId="87" applyNumberFormat="0" applyProtection="0">
      <alignment wrapText="1"/>
    </xf>
    <xf numFmtId="0" fontId="95" fillId="84" borderId="87" applyNumberFormat="0" applyProtection="0">
      <alignment wrapText="1"/>
    </xf>
    <xf numFmtId="0" fontId="95" fillId="84" borderId="87" applyNumberFormat="0" applyProtection="0">
      <alignment wrapText="1"/>
    </xf>
    <xf numFmtId="0" fontId="95" fillId="84" borderId="87" applyNumberFormat="0" applyProtection="0">
      <alignment wrapText="1"/>
    </xf>
    <xf numFmtId="0" fontId="95" fillId="84" borderId="87" applyNumberFormat="0" applyProtection="0">
      <alignment wrapText="1"/>
    </xf>
    <xf numFmtId="0" fontId="95" fillId="84" borderId="87" applyNumberFormat="0" applyProtection="0">
      <alignment wrapText="1"/>
    </xf>
    <xf numFmtId="0" fontId="95" fillId="84" borderId="87" applyNumberFormat="0" applyProtection="0">
      <alignment wrapText="1"/>
    </xf>
    <xf numFmtId="0" fontId="95" fillId="84" borderId="87" applyNumberFormat="0" applyProtection="0">
      <alignment wrapText="1"/>
    </xf>
    <xf numFmtId="0" fontId="95" fillId="84" borderId="87" applyNumberFormat="0" applyProtection="0">
      <alignment wrapText="1"/>
    </xf>
    <xf numFmtId="0" fontId="95" fillId="84" borderId="87" applyNumberFormat="0" applyProtection="0">
      <alignment wrapText="1"/>
    </xf>
    <xf numFmtId="0" fontId="95" fillId="84" borderId="87" applyNumberFormat="0" applyProtection="0">
      <alignment wrapText="1"/>
    </xf>
    <xf numFmtId="0" fontId="95" fillId="84" borderId="87" applyNumberFormat="0" applyProtection="0">
      <alignment wrapText="1"/>
    </xf>
    <xf numFmtId="0" fontId="95" fillId="84" borderId="87" applyNumberFormat="0" applyProtection="0">
      <alignment wrapText="1"/>
    </xf>
    <xf numFmtId="0" fontId="95" fillId="84" borderId="87" applyNumberFormat="0" applyProtection="0">
      <alignment wrapText="1"/>
    </xf>
    <xf numFmtId="0" fontId="95" fillId="84" borderId="87" applyNumberFormat="0" applyProtection="0">
      <alignment wrapText="1"/>
    </xf>
    <xf numFmtId="0" fontId="95" fillId="84" borderId="87" applyNumberFormat="0" applyProtection="0">
      <alignment wrapText="1"/>
    </xf>
    <xf numFmtId="0" fontId="95" fillId="84" borderId="87" applyNumberFormat="0" applyProtection="0">
      <alignment wrapText="1"/>
    </xf>
    <xf numFmtId="0" fontId="95" fillId="84" borderId="87" applyNumberFormat="0" applyProtection="0">
      <alignment wrapText="1"/>
    </xf>
    <xf numFmtId="0" fontId="95" fillId="85" borderId="87" applyNumberFormat="0" applyAlignment="0" applyProtection="0"/>
    <xf numFmtId="0" fontId="95" fillId="85" borderId="87" applyNumberFormat="0" applyAlignment="0" applyProtection="0"/>
    <xf numFmtId="0" fontId="95" fillId="84" borderId="87" applyNumberFormat="0" applyProtection="0">
      <alignment wrapText="1"/>
    </xf>
    <xf numFmtId="0" fontId="95" fillId="84" borderId="87" applyNumberFormat="0" applyProtection="0">
      <alignment wrapText="1"/>
    </xf>
    <xf numFmtId="0" fontId="95" fillId="85" borderId="87" applyNumberFormat="0" applyAlignment="0" applyProtection="0"/>
    <xf numFmtId="0" fontId="95" fillId="85" borderId="87" applyNumberFormat="0" applyAlignment="0" applyProtection="0"/>
    <xf numFmtId="0" fontId="95" fillId="85" borderId="87" applyNumberFormat="0" applyAlignment="0" applyProtection="0"/>
    <xf numFmtId="0" fontId="95" fillId="85" borderId="87" applyNumberFormat="0" applyAlignment="0" applyProtection="0"/>
    <xf numFmtId="0" fontId="95" fillId="85" borderId="87" applyNumberFormat="0" applyAlignment="0" applyProtection="0"/>
    <xf numFmtId="0" fontId="95" fillId="85" borderId="87" applyNumberFormat="0" applyAlignment="0" applyProtection="0"/>
    <xf numFmtId="0" fontId="95" fillId="85" borderId="87" applyNumberFormat="0" applyAlignment="0" applyProtection="0"/>
    <xf numFmtId="0" fontId="95" fillId="85" borderId="87" applyNumberFormat="0" applyAlignment="0" applyProtection="0"/>
    <xf numFmtId="0" fontId="95" fillId="85" borderId="87" applyNumberFormat="0" applyAlignment="0" applyProtection="0"/>
    <xf numFmtId="0" fontId="95" fillId="85" borderId="87" applyNumberFormat="0" applyAlignment="0" applyProtection="0"/>
    <xf numFmtId="0" fontId="95" fillId="85" borderId="87" applyNumberFormat="0" applyAlignment="0" applyProtection="0"/>
    <xf numFmtId="0" fontId="95" fillId="84" borderId="87" applyNumberFormat="0" applyProtection="0">
      <alignment wrapText="1"/>
    </xf>
    <xf numFmtId="0" fontId="95" fillId="84" borderId="87" applyNumberFormat="0" applyProtection="0">
      <alignment wrapText="1"/>
    </xf>
    <xf numFmtId="0" fontId="95" fillId="84" borderId="87" applyNumberFormat="0" applyProtection="0">
      <alignment wrapText="1"/>
    </xf>
    <xf numFmtId="0" fontId="95" fillId="85" borderId="87" applyNumberFormat="0" applyAlignment="0" applyProtection="0"/>
    <xf numFmtId="0" fontId="95" fillId="85" borderId="87" applyNumberFormat="0" applyAlignment="0" applyProtection="0"/>
    <xf numFmtId="0" fontId="95" fillId="85" borderId="87" applyNumberFormat="0" applyAlignment="0" applyProtection="0"/>
    <xf numFmtId="0" fontId="95" fillId="85" borderId="87" applyNumberFormat="0" applyAlignment="0" applyProtection="0"/>
    <xf numFmtId="0" fontId="95" fillId="85" borderId="87" applyNumberFormat="0" applyAlignment="0" applyProtection="0"/>
    <xf numFmtId="0" fontId="95" fillId="85" borderId="87" applyNumberFormat="0" applyAlignment="0" applyProtection="0"/>
    <xf numFmtId="0" fontId="95" fillId="85" borderId="87" applyNumberFormat="0" applyAlignment="0" applyProtection="0"/>
    <xf numFmtId="0" fontId="95" fillId="85" borderId="87" applyNumberFormat="0" applyAlignment="0" applyProtection="0"/>
    <xf numFmtId="0" fontId="95" fillId="85" borderId="87" applyNumberFormat="0" applyAlignment="0" applyProtection="0"/>
    <xf numFmtId="0" fontId="95" fillId="85" borderId="87" applyNumberFormat="0" applyAlignment="0" applyProtection="0"/>
    <xf numFmtId="0" fontId="95" fillId="84" borderId="87" applyNumberFormat="0" applyProtection="0">
      <alignment wrapText="1"/>
    </xf>
    <xf numFmtId="0" fontId="95" fillId="84" borderId="87" applyNumberFormat="0" applyProtection="0">
      <alignment wrapText="1"/>
    </xf>
    <xf numFmtId="0" fontId="95" fillId="84" borderId="87" applyNumberFormat="0" applyProtection="0">
      <alignment wrapText="1"/>
    </xf>
    <xf numFmtId="0" fontId="95" fillId="85" borderId="87" applyNumberFormat="0" applyAlignment="0" applyProtection="0"/>
    <xf numFmtId="0" fontId="95" fillId="85" borderId="87" applyNumberFormat="0" applyAlignment="0" applyProtection="0"/>
    <xf numFmtId="0" fontId="95" fillId="85" borderId="87" applyNumberFormat="0" applyAlignment="0" applyProtection="0"/>
    <xf numFmtId="0" fontId="95" fillId="85" borderId="87" applyNumberFormat="0" applyAlignment="0" applyProtection="0"/>
    <xf numFmtId="0" fontId="95" fillId="85" borderId="87" applyNumberFormat="0" applyAlignment="0" applyProtection="0"/>
    <xf numFmtId="0" fontId="95" fillId="85" borderId="87" applyNumberFormat="0" applyAlignment="0" applyProtection="0"/>
    <xf numFmtId="0" fontId="95" fillId="85" borderId="87" applyNumberFormat="0" applyAlignment="0" applyProtection="0"/>
    <xf numFmtId="0" fontId="95" fillId="85" borderId="87" applyNumberFormat="0" applyAlignment="0" applyProtection="0"/>
    <xf numFmtId="0" fontId="95" fillId="85" borderId="87" applyNumberFormat="0" applyAlignment="0" applyProtection="0"/>
    <xf numFmtId="0" fontId="95" fillId="85" borderId="87" applyNumberFormat="0" applyAlignment="0" applyProtection="0"/>
    <xf numFmtId="0" fontId="95" fillId="84" borderId="87" applyNumberFormat="0" applyProtection="0">
      <alignment wrapText="1"/>
    </xf>
    <xf numFmtId="0" fontId="95" fillId="84" borderId="87" applyNumberFormat="0" applyProtection="0">
      <alignment wrapText="1"/>
    </xf>
    <xf numFmtId="0" fontId="95" fillId="84" borderId="87" applyNumberFormat="0" applyProtection="0">
      <alignment wrapText="1"/>
    </xf>
    <xf numFmtId="0" fontId="95" fillId="85" borderId="87" applyNumberFormat="0" applyAlignment="0" applyProtection="0"/>
    <xf numFmtId="0" fontId="95" fillId="85" borderId="87" applyNumberFormat="0" applyAlignment="0" applyProtection="0"/>
    <xf numFmtId="0" fontId="95" fillId="85" borderId="87" applyNumberFormat="0" applyAlignment="0" applyProtection="0"/>
    <xf numFmtId="0" fontId="95" fillId="85" borderId="87" applyNumberFormat="0" applyAlignment="0" applyProtection="0"/>
    <xf numFmtId="0" fontId="95" fillId="85" borderId="87" applyNumberFormat="0" applyAlignment="0" applyProtection="0"/>
    <xf numFmtId="0" fontId="95" fillId="85" borderId="87" applyNumberFormat="0" applyAlignment="0" applyProtection="0"/>
    <xf numFmtId="0" fontId="95" fillId="85" borderId="87" applyNumberFormat="0" applyAlignment="0" applyProtection="0"/>
    <xf numFmtId="0" fontId="95" fillId="85" borderId="87" applyNumberFormat="0" applyAlignment="0" applyProtection="0"/>
    <xf numFmtId="0" fontId="95" fillId="85" borderId="87" applyNumberFormat="0" applyAlignment="0" applyProtection="0"/>
    <xf numFmtId="0" fontId="95" fillId="85" borderId="87" applyNumberFormat="0" applyAlignment="0" applyProtection="0"/>
    <xf numFmtId="0" fontId="95" fillId="84" borderId="87" applyNumberFormat="0" applyProtection="0">
      <alignment wrapText="1"/>
    </xf>
    <xf numFmtId="0" fontId="95" fillId="84" borderId="87" applyNumberFormat="0" applyProtection="0">
      <alignment wrapText="1"/>
    </xf>
    <xf numFmtId="0" fontId="95" fillId="84" borderId="87" applyNumberFormat="0" applyProtection="0">
      <alignment wrapText="1"/>
    </xf>
    <xf numFmtId="0" fontId="95" fillId="85" borderId="87" applyNumberFormat="0" applyAlignment="0" applyProtection="0"/>
    <xf numFmtId="0" fontId="95" fillId="85" borderId="87" applyNumberFormat="0" applyAlignment="0" applyProtection="0"/>
    <xf numFmtId="0" fontId="95" fillId="85" borderId="87" applyNumberFormat="0" applyAlignment="0" applyProtection="0"/>
    <xf numFmtId="0" fontId="95" fillId="85" borderId="87" applyNumberFormat="0" applyAlignment="0" applyProtection="0"/>
    <xf numFmtId="0" fontId="95" fillId="85" borderId="87" applyNumberFormat="0" applyAlignment="0" applyProtection="0"/>
    <xf numFmtId="0" fontId="95" fillId="85" borderId="87" applyNumberFormat="0" applyAlignment="0" applyProtection="0"/>
    <xf numFmtId="0" fontId="95" fillId="85" borderId="87" applyNumberFormat="0" applyAlignment="0" applyProtection="0"/>
    <xf numFmtId="0" fontId="95" fillId="85" borderId="87" applyNumberFormat="0" applyAlignment="0" applyProtection="0"/>
    <xf numFmtId="0" fontId="95" fillId="85" borderId="87" applyNumberFormat="0" applyAlignment="0" applyProtection="0"/>
    <xf numFmtId="0" fontId="95" fillId="85" borderId="87" applyNumberFormat="0" applyAlignment="0" applyProtection="0"/>
    <xf numFmtId="0" fontId="95" fillId="84" borderId="87" applyNumberFormat="0" applyProtection="0">
      <alignment wrapText="1"/>
    </xf>
    <xf numFmtId="0" fontId="95" fillId="84" borderId="87" applyNumberFormat="0" applyProtection="0">
      <alignment wrapText="1"/>
    </xf>
    <xf numFmtId="0" fontId="95" fillId="84" borderId="87" applyNumberFormat="0" applyProtection="0">
      <alignment wrapText="1"/>
    </xf>
    <xf numFmtId="0" fontId="95" fillId="85" borderId="87" applyNumberFormat="0" applyAlignment="0" applyProtection="0"/>
    <xf numFmtId="0" fontId="95" fillId="85" borderId="87" applyNumberFormat="0" applyAlignment="0" applyProtection="0"/>
    <xf numFmtId="0" fontId="95" fillId="84" borderId="87" applyNumberFormat="0" applyProtection="0">
      <alignment wrapText="1"/>
    </xf>
    <xf numFmtId="0" fontId="95" fillId="84" borderId="87" applyNumberFormat="0" applyProtection="0">
      <alignment wrapText="1"/>
    </xf>
    <xf numFmtId="0" fontId="95" fillId="84" borderId="87" applyNumberFormat="0" applyProtection="0">
      <alignment wrapText="1"/>
    </xf>
    <xf numFmtId="0" fontId="95" fillId="84" borderId="87" applyNumberFormat="0" applyProtection="0">
      <alignment wrapText="1"/>
    </xf>
    <xf numFmtId="0" fontId="95" fillId="84" borderId="87" applyNumberFormat="0" applyProtection="0">
      <alignment wrapText="1"/>
    </xf>
    <xf numFmtId="0" fontId="95" fillId="84" borderId="87" applyNumberFormat="0" applyProtection="0">
      <alignment wrapText="1"/>
    </xf>
    <xf numFmtId="168" fontId="1" fillId="0" borderId="0" applyFont="0" applyFill="0" applyBorder="0" applyAlignment="0" applyProtection="0"/>
    <xf numFmtId="168" fontId="1"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70" fontId="1" fillId="0" borderId="0"/>
    <xf numFmtId="2" fontId="4" fillId="0" borderId="0"/>
    <xf numFmtId="0" fontId="96" fillId="0" borderId="0" applyNumberFormat="0" applyFill="0" applyBorder="0" applyProtection="0">
      <alignment wrapText="1"/>
    </xf>
    <xf numFmtId="0" fontId="96" fillId="0" borderId="0" applyNumberFormat="0" applyFill="0" applyBorder="0" applyProtection="0">
      <alignment wrapText="1"/>
    </xf>
    <xf numFmtId="0" fontId="96" fillId="0" borderId="0" applyNumberFormat="0" applyFill="0" applyBorder="0" applyProtection="0">
      <alignment wrapText="1"/>
    </xf>
    <xf numFmtId="0" fontId="96" fillId="0" borderId="0" applyNumberFormat="0" applyFill="0" applyBorder="0" applyProtection="0">
      <alignment wrapText="1"/>
    </xf>
    <xf numFmtId="0" fontId="96" fillId="0" borderId="0" applyNumberFormat="0" applyFill="0" applyBorder="0" applyProtection="0">
      <alignment wrapText="1"/>
    </xf>
    <xf numFmtId="0" fontId="96" fillId="0" borderId="0" applyNumberFormat="0" applyFill="0" applyBorder="0" applyProtection="0">
      <alignment wrapText="1"/>
    </xf>
    <xf numFmtId="0" fontId="96" fillId="0" borderId="0" applyNumberFormat="0" applyFill="0" applyBorder="0" applyProtection="0">
      <alignment wrapText="1"/>
    </xf>
    <xf numFmtId="0" fontId="96" fillId="0" borderId="0" applyNumberFormat="0" applyFill="0" applyBorder="0" applyProtection="0">
      <alignment wrapText="1"/>
    </xf>
    <xf numFmtId="0" fontId="96" fillId="0" borderId="0" applyNumberFormat="0" applyFill="0" applyBorder="0" applyProtection="0">
      <alignment wrapText="1"/>
    </xf>
    <xf numFmtId="0" fontId="96" fillId="0" borderId="0" applyNumberFormat="0" applyFill="0" applyBorder="0" applyProtection="0">
      <alignment wrapText="1"/>
    </xf>
    <xf numFmtId="0" fontId="96" fillId="0" borderId="0" applyNumberFormat="0" applyFill="0" applyBorder="0" applyProtection="0">
      <alignment wrapText="1"/>
    </xf>
    <xf numFmtId="0" fontId="96" fillId="0" borderId="0" applyNumberFormat="0" applyFill="0" applyBorder="0" applyProtection="0">
      <alignment wrapText="1"/>
    </xf>
    <xf numFmtId="0" fontId="96" fillId="0" borderId="0" applyNumberFormat="0" applyFill="0" applyBorder="0" applyProtection="0">
      <alignment wrapText="1"/>
    </xf>
    <xf numFmtId="0" fontId="96" fillId="0" borderId="0" applyNumberFormat="0" applyFill="0" applyBorder="0" applyProtection="0">
      <alignment wrapText="1"/>
    </xf>
    <xf numFmtId="0" fontId="96" fillId="0" borderId="0" applyNumberFormat="0" applyFill="0" applyBorder="0" applyProtection="0">
      <alignment wrapText="1"/>
    </xf>
    <xf numFmtId="0" fontId="96" fillId="0" borderId="0" applyNumberFormat="0" applyFill="0" applyBorder="0" applyProtection="0">
      <alignment wrapText="1"/>
    </xf>
    <xf numFmtId="0" fontId="96" fillId="0" borderId="0" applyNumberFormat="0" applyFill="0" applyBorder="0" applyProtection="0">
      <alignment wrapText="1"/>
    </xf>
    <xf numFmtId="0" fontId="96" fillId="0" borderId="0" applyNumberFormat="0" applyFill="0" applyBorder="0" applyProtection="0">
      <alignment wrapText="1"/>
    </xf>
    <xf numFmtId="0" fontId="96" fillId="0" borderId="0" applyNumberFormat="0" applyFill="0" applyBorder="0" applyAlignment="0" applyProtection="0"/>
    <xf numFmtId="0" fontId="96" fillId="0" borderId="0" applyNumberFormat="0" applyFill="0" applyBorder="0" applyProtection="0">
      <alignment wrapText="1"/>
    </xf>
    <xf numFmtId="0" fontId="96" fillId="0" borderId="0" applyNumberFormat="0" applyFill="0" applyBorder="0" applyProtection="0">
      <alignment wrapText="1"/>
    </xf>
    <xf numFmtId="0" fontId="96" fillId="0" borderId="0" applyNumberFormat="0" applyFill="0" applyBorder="0" applyProtection="0">
      <alignment wrapText="1"/>
    </xf>
    <xf numFmtId="0" fontId="96" fillId="0" borderId="0" applyNumberFormat="0" applyFill="0" applyBorder="0" applyProtection="0">
      <alignment wrapText="1"/>
    </xf>
    <xf numFmtId="0" fontId="96" fillId="0" borderId="0" applyNumberFormat="0" applyFill="0" applyBorder="0" applyProtection="0">
      <alignment wrapText="1"/>
    </xf>
    <xf numFmtId="0" fontId="96" fillId="0" borderId="0" applyNumberFormat="0" applyFill="0" applyBorder="0" applyProtection="0">
      <alignment wrapText="1"/>
    </xf>
    <xf numFmtId="0" fontId="96" fillId="0" borderId="0" applyNumberFormat="0" applyFill="0" applyBorder="0" applyProtection="0">
      <alignment wrapText="1"/>
    </xf>
    <xf numFmtId="0" fontId="96" fillId="0" borderId="0" applyNumberFormat="0" applyFill="0" applyBorder="0" applyProtection="0">
      <alignment wrapText="1"/>
    </xf>
    <xf numFmtId="0" fontId="96" fillId="0" borderId="0" applyNumberFormat="0" applyFill="0" applyBorder="0" applyProtection="0">
      <alignment wrapText="1"/>
    </xf>
    <xf numFmtId="0" fontId="96" fillId="0" borderId="0" applyNumberFormat="0" applyFill="0" applyBorder="0" applyProtection="0">
      <alignment wrapText="1"/>
    </xf>
    <xf numFmtId="0" fontId="96" fillId="0" borderId="0" applyNumberFormat="0" applyFill="0" applyBorder="0" applyProtection="0">
      <alignment wrapText="1"/>
    </xf>
    <xf numFmtId="0" fontId="96" fillId="0" borderId="0" applyNumberFormat="0" applyFill="0" applyBorder="0" applyProtection="0">
      <alignment wrapText="1"/>
    </xf>
    <xf numFmtId="0" fontId="96" fillId="0" borderId="0" applyNumberFormat="0" applyFill="0" applyBorder="0" applyProtection="0">
      <alignment wrapText="1"/>
    </xf>
    <xf numFmtId="0" fontId="96" fillId="0" borderId="0" applyNumberFormat="0" applyFill="0" applyBorder="0" applyProtection="0">
      <alignment wrapText="1"/>
    </xf>
    <xf numFmtId="0" fontId="96" fillId="0" borderId="0" applyNumberFormat="0" applyFill="0" applyBorder="0" applyProtection="0">
      <alignment wrapText="1"/>
    </xf>
    <xf numFmtId="0" fontId="96" fillId="0" borderId="0" applyNumberFormat="0" applyFill="0" applyBorder="0" applyProtection="0">
      <alignment wrapText="1"/>
    </xf>
    <xf numFmtId="0" fontId="97" fillId="50" borderId="0" applyNumberFormat="0" applyBorder="0" applyProtection="0">
      <alignment wrapText="1"/>
    </xf>
    <xf numFmtId="0" fontId="97" fillId="50" borderId="0" applyNumberFormat="0" applyBorder="0" applyProtection="0">
      <alignment wrapText="1"/>
    </xf>
    <xf numFmtId="0" fontId="97" fillId="50" borderId="0" applyNumberFormat="0" applyBorder="0" applyProtection="0">
      <alignment wrapText="1"/>
    </xf>
    <xf numFmtId="0" fontId="97" fillId="50" borderId="0" applyNumberFormat="0" applyBorder="0" applyProtection="0">
      <alignment wrapText="1"/>
    </xf>
    <xf numFmtId="0" fontId="97" fillId="50" borderId="0" applyNumberFormat="0" applyBorder="0" applyProtection="0">
      <alignment wrapText="1"/>
    </xf>
    <xf numFmtId="0" fontId="97" fillId="50" borderId="0" applyNumberFormat="0" applyBorder="0" applyProtection="0">
      <alignment wrapText="1"/>
    </xf>
    <xf numFmtId="0" fontId="97" fillId="50" borderId="0" applyNumberFormat="0" applyBorder="0" applyProtection="0">
      <alignment wrapText="1"/>
    </xf>
    <xf numFmtId="0" fontId="97" fillId="50" borderId="0" applyNumberFormat="0" applyBorder="0" applyProtection="0">
      <alignment wrapText="1"/>
    </xf>
    <xf numFmtId="0" fontId="97" fillId="50" borderId="0" applyNumberFormat="0" applyBorder="0" applyProtection="0">
      <alignment wrapText="1"/>
    </xf>
    <xf numFmtId="0" fontId="97" fillId="50" borderId="0" applyNumberFormat="0" applyBorder="0" applyProtection="0">
      <alignment wrapText="1"/>
    </xf>
    <xf numFmtId="0" fontId="97" fillId="50" borderId="0" applyNumberFormat="0" applyBorder="0" applyProtection="0">
      <alignment wrapText="1"/>
    </xf>
    <xf numFmtId="0" fontId="97" fillId="50" borderId="0" applyNumberFormat="0" applyBorder="0" applyProtection="0">
      <alignment wrapText="1"/>
    </xf>
    <xf numFmtId="0" fontId="97" fillId="50" borderId="0" applyNumberFormat="0" applyBorder="0" applyProtection="0">
      <alignment wrapText="1"/>
    </xf>
    <xf numFmtId="0" fontId="97" fillId="50" borderId="0" applyNumberFormat="0" applyBorder="0" applyProtection="0">
      <alignment wrapText="1"/>
    </xf>
    <xf numFmtId="0" fontId="97" fillId="50" borderId="0" applyNumberFormat="0" applyBorder="0" applyProtection="0">
      <alignment wrapText="1"/>
    </xf>
    <xf numFmtId="0" fontId="97" fillId="50" borderId="0" applyNumberFormat="0" applyBorder="0" applyProtection="0">
      <alignment wrapText="1"/>
    </xf>
    <xf numFmtId="0" fontId="97" fillId="50" borderId="0" applyNumberFormat="0" applyBorder="0" applyProtection="0">
      <alignment wrapText="1"/>
    </xf>
    <xf numFmtId="0" fontId="97" fillId="50" borderId="0" applyNumberFormat="0" applyBorder="0" applyProtection="0">
      <alignment wrapText="1"/>
    </xf>
    <xf numFmtId="0" fontId="97" fillId="51" borderId="0" applyNumberFormat="0" applyBorder="0" applyAlignment="0" applyProtection="0"/>
    <xf numFmtId="0" fontId="97" fillId="50" borderId="0" applyNumberFormat="0" applyBorder="0" applyProtection="0">
      <alignment wrapText="1"/>
    </xf>
    <xf numFmtId="0" fontId="97" fillId="50" borderId="0" applyNumberFormat="0" applyBorder="0" applyProtection="0">
      <alignment wrapText="1"/>
    </xf>
    <xf numFmtId="0" fontId="97" fillId="50" borderId="0" applyNumberFormat="0" applyBorder="0" applyProtection="0">
      <alignment wrapText="1"/>
    </xf>
    <xf numFmtId="0" fontId="97" fillId="50" borderId="0" applyNumberFormat="0" applyBorder="0" applyProtection="0">
      <alignment wrapText="1"/>
    </xf>
    <xf numFmtId="0" fontId="97" fillId="50" borderId="0" applyNumberFormat="0" applyBorder="0" applyProtection="0">
      <alignment wrapText="1"/>
    </xf>
    <xf numFmtId="0" fontId="97" fillId="50" borderId="0" applyNumberFormat="0" applyBorder="0" applyProtection="0">
      <alignment wrapText="1"/>
    </xf>
    <xf numFmtId="0" fontId="97" fillId="50" borderId="0" applyNumberFormat="0" applyBorder="0" applyProtection="0">
      <alignment wrapText="1"/>
    </xf>
    <xf numFmtId="0" fontId="97" fillId="50" borderId="0" applyNumberFormat="0" applyBorder="0" applyProtection="0">
      <alignment wrapText="1"/>
    </xf>
    <xf numFmtId="0" fontId="97" fillId="50" borderId="0" applyNumberFormat="0" applyBorder="0" applyProtection="0">
      <alignment wrapText="1"/>
    </xf>
    <xf numFmtId="0" fontId="97" fillId="50" borderId="0" applyNumberFormat="0" applyBorder="0" applyProtection="0">
      <alignment wrapText="1"/>
    </xf>
    <xf numFmtId="0" fontId="97" fillId="50" borderId="0" applyNumberFormat="0" applyBorder="0" applyProtection="0">
      <alignment wrapText="1"/>
    </xf>
    <xf numFmtId="0" fontId="97" fillId="50" borderId="0" applyNumberFormat="0" applyBorder="0" applyProtection="0">
      <alignment wrapText="1"/>
    </xf>
    <xf numFmtId="0" fontId="97" fillId="50" borderId="0" applyNumberFormat="0" applyBorder="0" applyProtection="0">
      <alignment wrapText="1"/>
    </xf>
    <xf numFmtId="0" fontId="97" fillId="50" borderId="0" applyNumberFormat="0" applyBorder="0" applyProtection="0">
      <alignment wrapText="1"/>
    </xf>
    <xf numFmtId="0" fontId="97" fillId="50" borderId="0" applyNumberFormat="0" applyBorder="0" applyProtection="0">
      <alignment wrapText="1"/>
    </xf>
    <xf numFmtId="0" fontId="97" fillId="50" borderId="0" applyNumberFormat="0" applyBorder="0" applyProtection="0">
      <alignment wrapText="1"/>
    </xf>
    <xf numFmtId="0" fontId="94" fillId="49" borderId="0" applyNumberFormat="0" applyBorder="0" applyAlignment="0" applyProtection="0"/>
    <xf numFmtId="0" fontId="97" fillId="51" borderId="0" applyNumberFormat="0" applyBorder="0" applyAlignment="0" applyProtection="0"/>
    <xf numFmtId="0" fontId="98" fillId="0" borderId="88" applyNumberFormat="0" applyFill="0" applyProtection="0">
      <alignment wrapText="1"/>
    </xf>
    <xf numFmtId="0" fontId="98" fillId="0" borderId="88" applyNumberFormat="0" applyFill="0" applyProtection="0">
      <alignment wrapText="1"/>
    </xf>
    <xf numFmtId="0" fontId="98" fillId="0" borderId="88" applyNumberFormat="0" applyFill="0" applyProtection="0">
      <alignment wrapText="1"/>
    </xf>
    <xf numFmtId="0" fontId="98" fillId="0" borderId="88" applyNumberFormat="0" applyFill="0" applyProtection="0">
      <alignment wrapText="1"/>
    </xf>
    <xf numFmtId="0" fontId="98" fillId="0" borderId="88" applyNumberFormat="0" applyFill="0" applyProtection="0">
      <alignment wrapText="1"/>
    </xf>
    <xf numFmtId="0" fontId="98" fillId="0" borderId="88" applyNumberFormat="0" applyFill="0" applyProtection="0">
      <alignment wrapText="1"/>
    </xf>
    <xf numFmtId="0" fontId="98" fillId="0" borderId="88" applyNumberFormat="0" applyFill="0" applyProtection="0">
      <alignment wrapText="1"/>
    </xf>
    <xf numFmtId="0" fontId="98" fillId="0" borderId="88" applyNumberFormat="0" applyFill="0" applyProtection="0">
      <alignment wrapText="1"/>
    </xf>
    <xf numFmtId="0" fontId="98" fillId="0" borderId="88" applyNumberFormat="0" applyFill="0" applyProtection="0">
      <alignment wrapText="1"/>
    </xf>
    <xf numFmtId="0" fontId="98" fillId="0" borderId="88" applyNumberFormat="0" applyFill="0" applyProtection="0">
      <alignment wrapText="1"/>
    </xf>
    <xf numFmtId="0" fontId="98" fillId="0" borderId="88" applyNumberFormat="0" applyFill="0" applyProtection="0">
      <alignment wrapText="1"/>
    </xf>
    <xf numFmtId="0" fontId="98" fillId="0" borderId="88" applyNumberFormat="0" applyFill="0" applyProtection="0">
      <alignment wrapText="1"/>
    </xf>
    <xf numFmtId="0" fontId="98" fillId="0" borderId="88" applyNumberFormat="0" applyFill="0" applyProtection="0">
      <alignment wrapText="1"/>
    </xf>
    <xf numFmtId="0" fontId="98" fillId="0" borderId="88" applyNumberFormat="0" applyFill="0" applyProtection="0">
      <alignment wrapText="1"/>
    </xf>
    <xf numFmtId="0" fontId="98" fillId="0" borderId="88" applyNumberFormat="0" applyFill="0" applyProtection="0">
      <alignment wrapText="1"/>
    </xf>
    <xf numFmtId="0" fontId="98" fillId="0" borderId="88" applyNumberFormat="0" applyFill="0" applyProtection="0">
      <alignment wrapText="1"/>
    </xf>
    <xf numFmtId="0" fontId="98" fillId="0" borderId="88" applyNumberFormat="0" applyFill="0" applyProtection="0">
      <alignment wrapText="1"/>
    </xf>
    <xf numFmtId="0" fontId="98" fillId="0" borderId="88" applyNumberFormat="0" applyFill="0" applyProtection="0">
      <alignment wrapText="1"/>
    </xf>
    <xf numFmtId="0" fontId="98" fillId="0" borderId="88" applyNumberFormat="0" applyFill="0" applyProtection="0">
      <alignment wrapText="1"/>
    </xf>
    <xf numFmtId="0" fontId="98" fillId="0" borderId="88" applyNumberFormat="0" applyFill="0" applyProtection="0">
      <alignment wrapText="1"/>
    </xf>
    <xf numFmtId="0" fontId="98" fillId="0" borderId="88" applyNumberFormat="0" applyFill="0" applyProtection="0">
      <alignment wrapText="1"/>
    </xf>
    <xf numFmtId="0" fontId="98" fillId="0" borderId="88" applyNumberFormat="0" applyFill="0" applyProtection="0">
      <alignment wrapText="1"/>
    </xf>
    <xf numFmtId="0" fontId="98" fillId="0" borderId="88" applyNumberFormat="0" applyFill="0" applyProtection="0">
      <alignment wrapText="1"/>
    </xf>
    <xf numFmtId="0" fontId="98" fillId="0" borderId="88" applyNumberFormat="0" applyFill="0" applyProtection="0">
      <alignment wrapText="1"/>
    </xf>
    <xf numFmtId="0" fontId="98" fillId="0" borderId="88" applyNumberFormat="0" applyFill="0" applyProtection="0">
      <alignment wrapText="1"/>
    </xf>
    <xf numFmtId="0" fontId="98" fillId="0" borderId="88" applyNumberFormat="0" applyFill="0" applyProtection="0">
      <alignment wrapText="1"/>
    </xf>
    <xf numFmtId="0" fontId="98" fillId="0" borderId="88" applyNumberFormat="0" applyFill="0" applyProtection="0">
      <alignment wrapText="1"/>
    </xf>
    <xf numFmtId="0" fontId="98" fillId="0" borderId="88" applyNumberFormat="0" applyFill="0" applyAlignment="0" applyProtection="0"/>
    <xf numFmtId="0" fontId="98" fillId="0" borderId="88" applyNumberFormat="0" applyFill="0" applyAlignment="0" applyProtection="0"/>
    <xf numFmtId="0" fontId="98" fillId="0" borderId="88" applyNumberFormat="0" applyFill="0" applyProtection="0">
      <alignment wrapText="1"/>
    </xf>
    <xf numFmtId="0" fontId="98" fillId="0" borderId="88" applyNumberFormat="0" applyFill="0" applyProtection="0">
      <alignment wrapText="1"/>
    </xf>
    <xf numFmtId="0" fontId="98" fillId="0" borderId="88" applyNumberFormat="0" applyFill="0" applyAlignment="0" applyProtection="0"/>
    <xf numFmtId="0" fontId="98" fillId="0" borderId="88" applyNumberFormat="0" applyFill="0" applyAlignment="0" applyProtection="0"/>
    <xf numFmtId="0" fontId="98" fillId="0" borderId="88" applyNumberFormat="0" applyFill="0" applyAlignment="0" applyProtection="0"/>
    <xf numFmtId="0" fontId="98" fillId="0" borderId="88" applyNumberFormat="0" applyFill="0" applyAlignment="0" applyProtection="0"/>
    <xf numFmtId="0" fontId="98" fillId="0" borderId="88" applyNumberFormat="0" applyFill="0" applyAlignment="0" applyProtection="0"/>
    <xf numFmtId="0" fontId="98" fillId="0" borderId="88" applyNumberFormat="0" applyFill="0" applyAlignment="0" applyProtection="0"/>
    <xf numFmtId="0" fontId="98" fillId="0" borderId="88" applyNumberFormat="0" applyFill="0" applyAlignment="0" applyProtection="0"/>
    <xf numFmtId="0" fontId="98" fillId="0" borderId="88" applyNumberFormat="0" applyFill="0" applyAlignment="0" applyProtection="0"/>
    <xf numFmtId="0" fontId="98" fillId="0" borderId="88" applyNumberFormat="0" applyFill="0" applyAlignment="0" applyProtection="0"/>
    <xf numFmtId="0" fontId="98" fillId="0" borderId="88" applyNumberFormat="0" applyFill="0" applyAlignment="0" applyProtection="0"/>
    <xf numFmtId="0" fontId="98" fillId="0" borderId="88" applyNumberFormat="0" applyFill="0" applyAlignment="0" applyProtection="0"/>
    <xf numFmtId="0" fontId="98" fillId="0" borderId="88" applyNumberFormat="0" applyFill="0" applyProtection="0">
      <alignment wrapText="1"/>
    </xf>
    <xf numFmtId="0" fontId="98" fillId="0" borderId="88" applyNumberFormat="0" applyFill="0" applyProtection="0">
      <alignment wrapText="1"/>
    </xf>
    <xf numFmtId="0" fontId="98" fillId="0" borderId="88" applyNumberFormat="0" applyFill="0" applyProtection="0">
      <alignment wrapText="1"/>
    </xf>
    <xf numFmtId="0" fontId="98" fillId="0" borderId="88" applyNumberFormat="0" applyFill="0" applyAlignment="0" applyProtection="0"/>
    <xf numFmtId="0" fontId="98" fillId="0" borderId="88" applyNumberFormat="0" applyFill="0" applyAlignment="0" applyProtection="0"/>
    <xf numFmtId="0" fontId="98" fillId="0" borderId="88" applyNumberFormat="0" applyFill="0" applyAlignment="0" applyProtection="0"/>
    <xf numFmtId="0" fontId="98" fillId="0" borderId="88" applyNumberFormat="0" applyFill="0" applyAlignment="0" applyProtection="0"/>
    <xf numFmtId="0" fontId="98" fillId="0" borderId="88" applyNumberFormat="0" applyFill="0" applyAlignment="0" applyProtection="0"/>
    <xf numFmtId="0" fontId="98" fillId="0" borderId="88" applyNumberFormat="0" applyFill="0" applyAlignment="0" applyProtection="0"/>
    <xf numFmtId="0" fontId="98" fillId="0" borderId="88" applyNumberFormat="0" applyFill="0" applyAlignment="0" applyProtection="0"/>
    <xf numFmtId="0" fontId="98" fillId="0" borderId="88" applyNumberFormat="0" applyFill="0" applyAlignment="0" applyProtection="0"/>
    <xf numFmtId="0" fontId="98" fillId="0" borderId="88" applyNumberFormat="0" applyFill="0" applyAlignment="0" applyProtection="0"/>
    <xf numFmtId="0" fontId="98" fillId="0" borderId="88" applyNumberFormat="0" applyFill="0" applyAlignment="0" applyProtection="0"/>
    <xf numFmtId="0" fontId="98" fillId="0" borderId="88" applyNumberFormat="0" applyFill="0" applyProtection="0">
      <alignment wrapText="1"/>
    </xf>
    <xf numFmtId="0" fontId="98" fillId="0" borderId="88" applyNumberFormat="0" applyFill="0" applyProtection="0">
      <alignment wrapText="1"/>
    </xf>
    <xf numFmtId="0" fontId="98" fillId="0" borderId="88" applyNumberFormat="0" applyFill="0" applyProtection="0">
      <alignment wrapText="1"/>
    </xf>
    <xf numFmtId="0" fontId="98" fillId="0" borderId="88" applyNumberFormat="0" applyFill="0" applyAlignment="0" applyProtection="0"/>
    <xf numFmtId="0" fontId="98" fillId="0" borderId="88" applyNumberFormat="0" applyFill="0" applyAlignment="0" applyProtection="0"/>
    <xf numFmtId="0" fontId="98" fillId="0" borderId="88" applyNumberFormat="0" applyFill="0" applyAlignment="0" applyProtection="0"/>
    <xf numFmtId="0" fontId="98" fillId="0" borderId="88" applyNumberFormat="0" applyFill="0" applyAlignment="0" applyProtection="0"/>
    <xf numFmtId="0" fontId="98" fillId="0" borderId="88" applyNumberFormat="0" applyFill="0" applyAlignment="0" applyProtection="0"/>
    <xf numFmtId="0" fontId="98" fillId="0" borderId="88" applyNumberFormat="0" applyFill="0" applyAlignment="0" applyProtection="0"/>
    <xf numFmtId="0" fontId="98" fillId="0" borderId="88" applyNumberFormat="0" applyFill="0" applyAlignment="0" applyProtection="0"/>
    <xf numFmtId="0" fontId="98" fillId="0" borderId="88" applyNumberFormat="0" applyFill="0" applyAlignment="0" applyProtection="0"/>
    <xf numFmtId="0" fontId="98" fillId="0" borderId="88" applyNumberFormat="0" applyFill="0" applyAlignment="0" applyProtection="0"/>
    <xf numFmtId="0" fontId="98" fillId="0" borderId="88" applyNumberFormat="0" applyFill="0" applyAlignment="0" applyProtection="0"/>
    <xf numFmtId="0" fontId="98" fillId="0" borderId="88" applyNumberFormat="0" applyFill="0" applyProtection="0">
      <alignment wrapText="1"/>
    </xf>
    <xf numFmtId="0" fontId="98" fillId="0" borderId="88" applyNumberFormat="0" applyFill="0" applyProtection="0">
      <alignment wrapText="1"/>
    </xf>
    <xf numFmtId="0" fontId="98" fillId="0" borderId="88" applyNumberFormat="0" applyFill="0" applyProtection="0">
      <alignment wrapText="1"/>
    </xf>
    <xf numFmtId="0" fontId="98" fillId="0" borderId="88" applyNumberFormat="0" applyFill="0" applyAlignment="0" applyProtection="0"/>
    <xf numFmtId="0" fontId="98" fillId="0" borderId="88" applyNumberFormat="0" applyFill="0" applyAlignment="0" applyProtection="0"/>
    <xf numFmtId="0" fontId="98" fillId="0" borderId="88" applyNumberFormat="0" applyFill="0" applyAlignment="0" applyProtection="0"/>
    <xf numFmtId="0" fontId="98" fillId="0" borderId="88" applyNumberFormat="0" applyFill="0" applyAlignment="0" applyProtection="0"/>
    <xf numFmtId="0" fontId="98" fillId="0" borderId="88" applyNumberFormat="0" applyFill="0" applyAlignment="0" applyProtection="0"/>
    <xf numFmtId="0" fontId="98" fillId="0" borderId="88" applyNumberFormat="0" applyFill="0" applyAlignment="0" applyProtection="0"/>
    <xf numFmtId="0" fontId="98" fillId="0" borderId="88" applyNumberFormat="0" applyFill="0" applyAlignment="0" applyProtection="0"/>
    <xf numFmtId="0" fontId="98" fillId="0" borderId="88" applyNumberFormat="0" applyFill="0" applyAlignment="0" applyProtection="0"/>
    <xf numFmtId="0" fontId="98" fillId="0" borderId="88" applyNumberFormat="0" applyFill="0" applyAlignment="0" applyProtection="0"/>
    <xf numFmtId="0" fontId="98" fillId="0" borderId="88" applyNumberFormat="0" applyFill="0" applyAlignment="0" applyProtection="0"/>
    <xf numFmtId="0" fontId="98" fillId="0" borderId="88" applyNumberFormat="0" applyFill="0" applyProtection="0">
      <alignment wrapText="1"/>
    </xf>
    <xf numFmtId="0" fontId="98" fillId="0" borderId="88" applyNumberFormat="0" applyFill="0" applyProtection="0">
      <alignment wrapText="1"/>
    </xf>
    <xf numFmtId="0" fontId="98" fillId="0" borderId="88" applyNumberFormat="0" applyFill="0" applyProtection="0">
      <alignment wrapText="1"/>
    </xf>
    <xf numFmtId="0" fontId="98" fillId="0" borderId="88" applyNumberFormat="0" applyFill="0" applyAlignment="0" applyProtection="0"/>
    <xf numFmtId="0" fontId="98" fillId="0" borderId="88" applyNumberFormat="0" applyFill="0" applyAlignment="0" applyProtection="0"/>
    <xf numFmtId="0" fontId="98" fillId="0" borderId="88" applyNumberFormat="0" applyFill="0" applyAlignment="0" applyProtection="0"/>
    <xf numFmtId="0" fontId="98" fillId="0" borderId="88" applyNumberFormat="0" applyFill="0" applyAlignment="0" applyProtection="0"/>
    <xf numFmtId="0" fontId="98" fillId="0" borderId="88" applyNumberFormat="0" applyFill="0" applyAlignment="0" applyProtection="0"/>
    <xf numFmtId="0" fontId="98" fillId="0" borderId="88" applyNumberFormat="0" applyFill="0" applyAlignment="0" applyProtection="0"/>
    <xf numFmtId="0" fontId="98" fillId="0" borderId="88" applyNumberFormat="0" applyFill="0" applyAlignment="0" applyProtection="0"/>
    <xf numFmtId="0" fontId="98" fillId="0" borderId="88" applyNumberFormat="0" applyFill="0" applyAlignment="0" applyProtection="0"/>
    <xf numFmtId="0" fontId="98" fillId="0" borderId="88" applyNumberFormat="0" applyFill="0" applyAlignment="0" applyProtection="0"/>
    <xf numFmtId="0" fontId="98" fillId="0" borderId="88" applyNumberFormat="0" applyFill="0" applyAlignment="0" applyProtection="0"/>
    <xf numFmtId="0" fontId="98" fillId="0" borderId="88" applyNumberFormat="0" applyFill="0" applyProtection="0">
      <alignment wrapText="1"/>
    </xf>
    <xf numFmtId="0" fontId="98" fillId="0" borderId="88" applyNumberFormat="0" applyFill="0" applyProtection="0">
      <alignment wrapText="1"/>
    </xf>
    <xf numFmtId="0" fontId="98" fillId="0" borderId="88" applyNumberFormat="0" applyFill="0" applyProtection="0">
      <alignment wrapText="1"/>
    </xf>
    <xf numFmtId="0" fontId="98" fillId="0" borderId="88" applyNumberFormat="0" applyFill="0" applyAlignment="0" applyProtection="0"/>
    <xf numFmtId="0" fontId="98" fillId="0" borderId="88" applyNumberFormat="0" applyFill="0" applyAlignment="0" applyProtection="0"/>
    <xf numFmtId="0" fontId="98" fillId="0" borderId="88" applyNumberFormat="0" applyFill="0" applyProtection="0">
      <alignment wrapText="1"/>
    </xf>
    <xf numFmtId="0" fontId="98" fillId="0" borderId="88" applyNumberFormat="0" applyFill="0" applyProtection="0">
      <alignment wrapText="1"/>
    </xf>
    <xf numFmtId="0" fontId="98" fillId="0" borderId="88" applyNumberFormat="0" applyFill="0" applyProtection="0">
      <alignment wrapText="1"/>
    </xf>
    <xf numFmtId="0" fontId="98" fillId="0" borderId="88" applyNumberFormat="0" applyFill="0" applyProtection="0">
      <alignment wrapText="1"/>
    </xf>
    <xf numFmtId="0" fontId="98" fillId="0" borderId="88" applyNumberFormat="0" applyFill="0" applyProtection="0">
      <alignment wrapText="1"/>
    </xf>
    <xf numFmtId="0" fontId="98" fillId="0" borderId="88" applyNumberFormat="0" applyFill="0" applyProtection="0">
      <alignment wrapText="1"/>
    </xf>
    <xf numFmtId="0" fontId="99" fillId="0" borderId="89" applyNumberFormat="0" applyFill="0" applyProtection="0">
      <alignment wrapText="1"/>
    </xf>
    <xf numFmtId="0" fontId="99" fillId="0" borderId="89" applyNumberFormat="0" applyFill="0" applyProtection="0">
      <alignment wrapText="1"/>
    </xf>
    <xf numFmtId="0" fontId="99" fillId="0" borderId="89" applyNumberFormat="0" applyFill="0" applyProtection="0">
      <alignment wrapText="1"/>
    </xf>
    <xf numFmtId="0" fontId="99" fillId="0" borderId="89" applyNumberFormat="0" applyFill="0" applyProtection="0">
      <alignment wrapText="1"/>
    </xf>
    <xf numFmtId="0" fontId="99" fillId="0" borderId="89" applyNumberFormat="0" applyFill="0" applyProtection="0">
      <alignment wrapText="1"/>
    </xf>
    <xf numFmtId="0" fontId="99" fillId="0" borderId="89" applyNumberFormat="0" applyFill="0" applyProtection="0">
      <alignment wrapText="1"/>
    </xf>
    <xf numFmtId="0" fontId="99" fillId="0" borderId="89" applyNumberFormat="0" applyFill="0" applyProtection="0">
      <alignment wrapText="1"/>
    </xf>
    <xf numFmtId="0" fontId="99" fillId="0" borderId="89" applyNumberFormat="0" applyFill="0" applyProtection="0">
      <alignment wrapText="1"/>
    </xf>
    <xf numFmtId="0" fontId="99" fillId="0" borderId="89" applyNumberFormat="0" applyFill="0" applyProtection="0">
      <alignment wrapText="1"/>
    </xf>
    <xf numFmtId="0" fontId="99" fillId="0" borderId="89" applyNumberFormat="0" applyFill="0" applyProtection="0">
      <alignment wrapText="1"/>
    </xf>
    <xf numFmtId="0" fontId="99" fillId="0" borderId="89" applyNumberFormat="0" applyFill="0" applyProtection="0">
      <alignment wrapText="1"/>
    </xf>
    <xf numFmtId="0" fontId="99" fillId="0" borderId="89" applyNumberFormat="0" applyFill="0" applyProtection="0">
      <alignment wrapText="1"/>
    </xf>
    <xf numFmtId="0" fontId="99" fillId="0" borderId="89" applyNumberFormat="0" applyFill="0" applyProtection="0">
      <alignment wrapText="1"/>
    </xf>
    <xf numFmtId="0" fontId="99" fillId="0" borderId="89" applyNumberFormat="0" applyFill="0" applyProtection="0">
      <alignment wrapText="1"/>
    </xf>
    <xf numFmtId="0" fontId="99" fillId="0" borderId="89" applyNumberFormat="0" applyFill="0" applyProtection="0">
      <alignment wrapText="1"/>
    </xf>
    <xf numFmtId="0" fontId="99" fillId="0" borderId="89" applyNumberFormat="0" applyFill="0" applyProtection="0">
      <alignment wrapText="1"/>
    </xf>
    <xf numFmtId="0" fontId="99" fillId="0" borderId="89" applyNumberFormat="0" applyFill="0" applyProtection="0">
      <alignment wrapText="1"/>
    </xf>
    <xf numFmtId="0" fontId="99" fillId="0" borderId="89" applyNumberFormat="0" applyFill="0" applyProtection="0">
      <alignment wrapText="1"/>
    </xf>
    <xf numFmtId="0" fontId="99" fillId="0" borderId="89" applyNumberFormat="0" applyFill="0" applyProtection="0">
      <alignment wrapText="1"/>
    </xf>
    <xf numFmtId="0" fontId="99" fillId="0" borderId="89" applyNumberFormat="0" applyFill="0" applyProtection="0">
      <alignment wrapText="1"/>
    </xf>
    <xf numFmtId="0" fontId="99" fillId="0" borderId="89" applyNumberFormat="0" applyFill="0" applyProtection="0">
      <alignment wrapText="1"/>
    </xf>
    <xf numFmtId="0" fontId="99" fillId="0" borderId="89" applyNumberFormat="0" applyFill="0" applyProtection="0">
      <alignment wrapText="1"/>
    </xf>
    <xf numFmtId="0" fontId="99" fillId="0" borderId="89" applyNumberFormat="0" applyFill="0" applyProtection="0">
      <alignment wrapText="1"/>
    </xf>
    <xf numFmtId="0" fontId="99" fillId="0" borderId="89" applyNumberFormat="0" applyFill="0" applyProtection="0">
      <alignment wrapText="1"/>
    </xf>
    <xf numFmtId="0" fontId="99" fillId="0" borderId="89" applyNumberFormat="0" applyFill="0" applyProtection="0">
      <alignment wrapText="1"/>
    </xf>
    <xf numFmtId="0" fontId="99" fillId="0" borderId="89" applyNumberFormat="0" applyFill="0" applyProtection="0">
      <alignment wrapText="1"/>
    </xf>
    <xf numFmtId="0" fontId="99" fillId="0" borderId="89" applyNumberFormat="0" applyFill="0" applyProtection="0">
      <alignment wrapText="1"/>
    </xf>
    <xf numFmtId="0" fontId="99" fillId="0" borderId="89" applyNumberFormat="0" applyFill="0" applyAlignment="0" applyProtection="0"/>
    <xf numFmtId="0" fontId="99" fillId="0" borderId="89" applyNumberFormat="0" applyFill="0" applyAlignment="0" applyProtection="0"/>
    <xf numFmtId="0" fontId="99" fillId="0" borderId="89" applyNumberFormat="0" applyFill="0" applyProtection="0">
      <alignment wrapText="1"/>
    </xf>
    <xf numFmtId="0" fontId="99" fillId="0" borderId="89" applyNumberFormat="0" applyFill="0" applyProtection="0">
      <alignment wrapText="1"/>
    </xf>
    <xf numFmtId="0" fontId="99" fillId="0" borderId="89" applyNumberFormat="0" applyFill="0" applyAlignment="0" applyProtection="0"/>
    <xf numFmtId="0" fontId="99" fillId="0" borderId="89" applyNumberFormat="0" applyFill="0" applyAlignment="0" applyProtection="0"/>
    <xf numFmtId="0" fontId="99" fillId="0" borderId="89" applyNumberFormat="0" applyFill="0" applyAlignment="0" applyProtection="0"/>
    <xf numFmtId="0" fontId="99" fillId="0" borderId="89" applyNumberFormat="0" applyFill="0" applyAlignment="0" applyProtection="0"/>
    <xf numFmtId="0" fontId="99" fillId="0" borderId="89" applyNumberFormat="0" applyFill="0" applyAlignment="0" applyProtection="0"/>
    <xf numFmtId="0" fontId="99" fillId="0" borderId="89" applyNumberFormat="0" applyFill="0" applyAlignment="0" applyProtection="0"/>
    <xf numFmtId="0" fontId="99" fillId="0" borderId="89" applyNumberFormat="0" applyFill="0" applyAlignment="0" applyProtection="0"/>
    <xf numFmtId="0" fontId="99" fillId="0" borderId="89" applyNumberFormat="0" applyFill="0" applyAlignment="0" applyProtection="0"/>
    <xf numFmtId="0" fontId="99" fillId="0" borderId="89" applyNumberFormat="0" applyFill="0" applyAlignment="0" applyProtection="0"/>
    <xf numFmtId="0" fontId="99" fillId="0" borderId="89" applyNumberFormat="0" applyFill="0" applyAlignment="0" applyProtection="0"/>
    <xf numFmtId="0" fontId="99" fillId="0" borderId="89" applyNumberFormat="0" applyFill="0" applyAlignment="0" applyProtection="0"/>
    <xf numFmtId="0" fontId="99" fillId="0" borderId="89" applyNumberFormat="0" applyFill="0" applyProtection="0">
      <alignment wrapText="1"/>
    </xf>
    <xf numFmtId="0" fontId="99" fillId="0" borderId="89" applyNumberFormat="0" applyFill="0" applyProtection="0">
      <alignment wrapText="1"/>
    </xf>
    <xf numFmtId="0" fontId="99" fillId="0" borderId="89" applyNumberFormat="0" applyFill="0" applyProtection="0">
      <alignment wrapText="1"/>
    </xf>
    <xf numFmtId="0" fontId="99" fillId="0" borderId="89" applyNumberFormat="0" applyFill="0" applyAlignment="0" applyProtection="0"/>
    <xf numFmtId="0" fontId="99" fillId="0" borderId="89" applyNumberFormat="0" applyFill="0" applyAlignment="0" applyProtection="0"/>
    <xf numFmtId="0" fontId="99" fillId="0" borderId="89" applyNumberFormat="0" applyFill="0" applyAlignment="0" applyProtection="0"/>
    <xf numFmtId="0" fontId="99" fillId="0" borderId="89" applyNumberFormat="0" applyFill="0" applyAlignment="0" applyProtection="0"/>
    <xf numFmtId="0" fontId="99" fillId="0" borderId="89" applyNumberFormat="0" applyFill="0" applyAlignment="0" applyProtection="0"/>
    <xf numFmtId="0" fontId="99" fillId="0" borderId="89" applyNumberFormat="0" applyFill="0" applyAlignment="0" applyProtection="0"/>
    <xf numFmtId="0" fontId="99" fillId="0" borderId="89" applyNumberFormat="0" applyFill="0" applyAlignment="0" applyProtection="0"/>
    <xf numFmtId="0" fontId="99" fillId="0" borderId="89" applyNumberFormat="0" applyFill="0" applyAlignment="0" applyProtection="0"/>
    <xf numFmtId="0" fontId="99" fillId="0" borderId="89" applyNumberFormat="0" applyFill="0" applyAlignment="0" applyProtection="0"/>
    <xf numFmtId="0" fontId="99" fillId="0" borderId="89" applyNumberFormat="0" applyFill="0" applyAlignment="0" applyProtection="0"/>
    <xf numFmtId="0" fontId="99" fillId="0" borderId="89" applyNumberFormat="0" applyFill="0" applyProtection="0">
      <alignment wrapText="1"/>
    </xf>
    <xf numFmtId="0" fontId="99" fillId="0" borderId="89" applyNumberFormat="0" applyFill="0" applyProtection="0">
      <alignment wrapText="1"/>
    </xf>
    <xf numFmtId="0" fontId="99" fillId="0" borderId="89" applyNumberFormat="0" applyFill="0" applyProtection="0">
      <alignment wrapText="1"/>
    </xf>
    <xf numFmtId="0" fontId="99" fillId="0" borderId="89" applyNumberFormat="0" applyFill="0" applyAlignment="0" applyProtection="0"/>
    <xf numFmtId="0" fontId="99" fillId="0" borderId="89" applyNumberFormat="0" applyFill="0" applyAlignment="0" applyProtection="0"/>
    <xf numFmtId="0" fontId="99" fillId="0" borderId="89" applyNumberFormat="0" applyFill="0" applyAlignment="0" applyProtection="0"/>
    <xf numFmtId="0" fontId="99" fillId="0" borderId="89" applyNumberFormat="0" applyFill="0" applyAlignment="0" applyProtection="0"/>
    <xf numFmtId="0" fontId="99" fillId="0" borderId="89" applyNumberFormat="0" applyFill="0" applyAlignment="0" applyProtection="0"/>
    <xf numFmtId="0" fontId="99" fillId="0" borderId="89" applyNumberFormat="0" applyFill="0" applyAlignment="0" applyProtection="0"/>
    <xf numFmtId="0" fontId="99" fillId="0" borderId="89" applyNumberFormat="0" applyFill="0" applyAlignment="0" applyProtection="0"/>
    <xf numFmtId="0" fontId="99" fillId="0" borderId="89" applyNumberFormat="0" applyFill="0" applyAlignment="0" applyProtection="0"/>
    <xf numFmtId="0" fontId="99" fillId="0" borderId="89" applyNumberFormat="0" applyFill="0" applyAlignment="0" applyProtection="0"/>
    <xf numFmtId="0" fontId="99" fillId="0" borderId="89" applyNumberFormat="0" applyFill="0" applyAlignment="0" applyProtection="0"/>
    <xf numFmtId="0" fontId="99" fillId="0" borderId="89" applyNumberFormat="0" applyFill="0" applyProtection="0">
      <alignment wrapText="1"/>
    </xf>
    <xf numFmtId="0" fontId="99" fillId="0" borderId="89" applyNumberFormat="0" applyFill="0" applyProtection="0">
      <alignment wrapText="1"/>
    </xf>
    <xf numFmtId="0" fontId="99" fillId="0" borderId="89" applyNumberFormat="0" applyFill="0" applyProtection="0">
      <alignment wrapText="1"/>
    </xf>
    <xf numFmtId="0" fontId="99" fillId="0" borderId="89" applyNumberFormat="0" applyFill="0" applyAlignment="0" applyProtection="0"/>
    <xf numFmtId="0" fontId="99" fillId="0" borderId="89" applyNumberFormat="0" applyFill="0" applyAlignment="0" applyProtection="0"/>
    <xf numFmtId="0" fontId="99" fillId="0" borderId="89" applyNumberFormat="0" applyFill="0" applyAlignment="0" applyProtection="0"/>
    <xf numFmtId="0" fontId="99" fillId="0" borderId="89" applyNumberFormat="0" applyFill="0" applyAlignment="0" applyProtection="0"/>
    <xf numFmtId="0" fontId="99" fillId="0" borderId="89" applyNumberFormat="0" applyFill="0" applyAlignment="0" applyProtection="0"/>
    <xf numFmtId="0" fontId="99" fillId="0" borderId="89" applyNumberFormat="0" applyFill="0" applyAlignment="0" applyProtection="0"/>
    <xf numFmtId="0" fontId="99" fillId="0" borderId="89" applyNumberFormat="0" applyFill="0" applyAlignment="0" applyProtection="0"/>
    <xf numFmtId="0" fontId="99" fillId="0" borderId="89" applyNumberFormat="0" applyFill="0" applyAlignment="0" applyProtection="0"/>
    <xf numFmtId="0" fontId="99" fillId="0" borderId="89" applyNumberFormat="0" applyFill="0" applyAlignment="0" applyProtection="0"/>
    <xf numFmtId="0" fontId="99" fillId="0" borderId="89" applyNumberFormat="0" applyFill="0" applyAlignment="0" applyProtection="0"/>
    <xf numFmtId="0" fontId="99" fillId="0" borderId="89" applyNumberFormat="0" applyFill="0" applyProtection="0">
      <alignment wrapText="1"/>
    </xf>
    <xf numFmtId="0" fontId="99" fillId="0" borderId="89" applyNumberFormat="0" applyFill="0" applyProtection="0">
      <alignment wrapText="1"/>
    </xf>
    <xf numFmtId="0" fontId="99" fillId="0" borderId="89" applyNumberFormat="0" applyFill="0" applyProtection="0">
      <alignment wrapText="1"/>
    </xf>
    <xf numFmtId="0" fontId="99" fillId="0" borderId="89" applyNumberFormat="0" applyFill="0" applyAlignment="0" applyProtection="0"/>
    <xf numFmtId="0" fontId="99" fillId="0" borderId="89" applyNumberFormat="0" applyFill="0" applyAlignment="0" applyProtection="0"/>
    <xf numFmtId="0" fontId="99" fillId="0" borderId="89" applyNumberFormat="0" applyFill="0" applyAlignment="0" applyProtection="0"/>
    <xf numFmtId="0" fontId="99" fillId="0" borderId="89" applyNumberFormat="0" applyFill="0" applyAlignment="0" applyProtection="0"/>
    <xf numFmtId="0" fontId="99" fillId="0" borderId="89" applyNumberFormat="0" applyFill="0" applyAlignment="0" applyProtection="0"/>
    <xf numFmtId="0" fontId="99" fillId="0" borderId="89" applyNumberFormat="0" applyFill="0" applyAlignment="0" applyProtection="0"/>
    <xf numFmtId="0" fontId="99" fillId="0" borderId="89" applyNumberFormat="0" applyFill="0" applyAlignment="0" applyProtection="0"/>
    <xf numFmtId="0" fontId="99" fillId="0" borderId="89" applyNumberFormat="0" applyFill="0" applyAlignment="0" applyProtection="0"/>
    <xf numFmtId="0" fontId="99" fillId="0" borderId="89" applyNumberFormat="0" applyFill="0" applyAlignment="0" applyProtection="0"/>
    <xf numFmtId="0" fontId="99" fillId="0" borderId="89" applyNumberFormat="0" applyFill="0" applyAlignment="0" applyProtection="0"/>
    <xf numFmtId="0" fontId="99" fillId="0" borderId="89" applyNumberFormat="0" applyFill="0" applyProtection="0">
      <alignment wrapText="1"/>
    </xf>
    <xf numFmtId="0" fontId="99" fillId="0" borderId="89" applyNumberFormat="0" applyFill="0" applyProtection="0">
      <alignment wrapText="1"/>
    </xf>
    <xf numFmtId="0" fontId="99" fillId="0" borderId="89" applyNumberFormat="0" applyFill="0" applyProtection="0">
      <alignment wrapText="1"/>
    </xf>
    <xf numFmtId="0" fontId="99" fillId="0" borderId="89" applyNumberFormat="0" applyFill="0" applyAlignment="0" applyProtection="0"/>
    <xf numFmtId="0" fontId="99" fillId="0" borderId="89" applyNumberFormat="0" applyFill="0" applyAlignment="0" applyProtection="0"/>
    <xf numFmtId="0" fontId="99" fillId="0" borderId="89" applyNumberFormat="0" applyFill="0" applyProtection="0">
      <alignment wrapText="1"/>
    </xf>
    <xf numFmtId="0" fontId="99" fillId="0" borderId="89" applyNumberFormat="0" applyFill="0" applyProtection="0">
      <alignment wrapText="1"/>
    </xf>
    <xf numFmtId="0" fontId="99" fillId="0" borderId="89" applyNumberFormat="0" applyFill="0" applyProtection="0">
      <alignment wrapText="1"/>
    </xf>
    <xf numFmtId="0" fontId="99" fillId="0" borderId="89" applyNumberFormat="0" applyFill="0" applyProtection="0">
      <alignment wrapText="1"/>
    </xf>
    <xf numFmtId="0" fontId="99" fillId="0" borderId="89" applyNumberFormat="0" applyFill="0" applyProtection="0">
      <alignment wrapText="1"/>
    </xf>
    <xf numFmtId="0" fontId="99" fillId="0" borderId="89" applyNumberFormat="0" applyFill="0" applyProtection="0">
      <alignment wrapText="1"/>
    </xf>
    <xf numFmtId="0" fontId="100" fillId="0" borderId="90" applyNumberFormat="0" applyFill="0" applyProtection="0">
      <alignment wrapText="1"/>
    </xf>
    <xf numFmtId="0" fontId="100" fillId="0" borderId="90" applyNumberFormat="0" applyFill="0" applyProtection="0">
      <alignment wrapText="1"/>
    </xf>
    <xf numFmtId="0" fontId="100" fillId="0" borderId="90" applyNumberFormat="0" applyFill="0" applyProtection="0">
      <alignment wrapText="1"/>
    </xf>
    <xf numFmtId="0" fontId="100" fillId="0" borderId="90" applyNumberFormat="0" applyFill="0" applyProtection="0">
      <alignment wrapText="1"/>
    </xf>
    <xf numFmtId="0" fontId="100" fillId="0" borderId="90" applyNumberFormat="0" applyFill="0" applyProtection="0">
      <alignment wrapText="1"/>
    </xf>
    <xf numFmtId="0" fontId="100" fillId="0" borderId="90" applyNumberFormat="0" applyFill="0" applyProtection="0">
      <alignment wrapText="1"/>
    </xf>
    <xf numFmtId="0" fontId="100" fillId="0" borderId="90" applyNumberFormat="0" applyFill="0" applyProtection="0">
      <alignment wrapText="1"/>
    </xf>
    <xf numFmtId="0" fontId="100" fillId="0" borderId="90" applyNumberFormat="0" applyFill="0" applyProtection="0">
      <alignment wrapText="1"/>
    </xf>
    <xf numFmtId="0" fontId="100" fillId="0" borderId="90" applyNumberFormat="0" applyFill="0" applyProtection="0">
      <alignment wrapText="1"/>
    </xf>
    <xf numFmtId="0" fontId="100" fillId="0" borderId="90" applyNumberFormat="0" applyFill="0" applyProtection="0">
      <alignment wrapText="1"/>
    </xf>
    <xf numFmtId="0" fontId="100" fillId="0" borderId="90" applyNumberFormat="0" applyFill="0" applyProtection="0">
      <alignment wrapText="1"/>
    </xf>
    <xf numFmtId="0" fontId="100" fillId="0" borderId="90" applyNumberFormat="0" applyFill="0" applyProtection="0">
      <alignment wrapText="1"/>
    </xf>
    <xf numFmtId="0" fontId="100" fillId="0" borderId="90" applyNumberFormat="0" applyFill="0" applyProtection="0">
      <alignment wrapText="1"/>
    </xf>
    <xf numFmtId="0" fontId="100" fillId="0" borderId="90" applyNumberFormat="0" applyFill="0" applyProtection="0">
      <alignment wrapText="1"/>
    </xf>
    <xf numFmtId="0" fontId="100" fillId="0" borderId="90" applyNumberFormat="0" applyFill="0" applyProtection="0">
      <alignment wrapText="1"/>
    </xf>
    <xf numFmtId="0" fontId="100" fillId="0" borderId="90" applyNumberFormat="0" applyFill="0" applyProtection="0">
      <alignment wrapText="1"/>
    </xf>
    <xf numFmtId="0" fontId="100" fillId="0" borderId="90" applyNumberFormat="0" applyFill="0" applyProtection="0">
      <alignment wrapText="1"/>
    </xf>
    <xf numFmtId="0" fontId="100" fillId="0" borderId="90" applyNumberFormat="0" applyFill="0" applyProtection="0">
      <alignment wrapText="1"/>
    </xf>
    <xf numFmtId="0" fontId="100" fillId="0" borderId="90" applyNumberFormat="0" applyFill="0" applyProtection="0">
      <alignment wrapText="1"/>
    </xf>
    <xf numFmtId="0" fontId="100" fillId="0" borderId="90" applyNumberFormat="0" applyFill="0" applyProtection="0">
      <alignment wrapText="1"/>
    </xf>
    <xf numFmtId="0" fontId="100" fillId="0" borderId="90" applyNumberFormat="0" applyFill="0" applyProtection="0">
      <alignment wrapText="1"/>
    </xf>
    <xf numFmtId="0" fontId="100" fillId="0" borderId="90" applyNumberFormat="0" applyFill="0" applyProtection="0">
      <alignment wrapText="1"/>
    </xf>
    <xf numFmtId="0" fontId="100" fillId="0" borderId="90" applyNumberFormat="0" applyFill="0" applyProtection="0">
      <alignment wrapText="1"/>
    </xf>
    <xf numFmtId="0" fontId="100" fillId="0" borderId="90" applyNumberFormat="0" applyFill="0" applyProtection="0">
      <alignment wrapText="1"/>
    </xf>
    <xf numFmtId="0" fontId="100" fillId="0" borderId="90" applyNumberFormat="0" applyFill="0" applyProtection="0">
      <alignment wrapText="1"/>
    </xf>
    <xf numFmtId="0" fontId="100" fillId="0" borderId="90" applyNumberFormat="0" applyFill="0" applyProtection="0">
      <alignment wrapText="1"/>
    </xf>
    <xf numFmtId="0" fontId="100" fillId="0" borderId="90" applyNumberFormat="0" applyFill="0" applyProtection="0">
      <alignment wrapText="1"/>
    </xf>
    <xf numFmtId="0" fontId="100" fillId="0" borderId="90" applyNumberFormat="0" applyFill="0" applyAlignment="0" applyProtection="0"/>
    <xf numFmtId="0" fontId="100" fillId="0" borderId="90" applyNumberFormat="0" applyFill="0" applyAlignment="0" applyProtection="0"/>
    <xf numFmtId="0" fontId="100" fillId="0" borderId="90" applyNumberFormat="0" applyFill="0" applyProtection="0">
      <alignment wrapText="1"/>
    </xf>
    <xf numFmtId="0" fontId="100" fillId="0" borderId="90" applyNumberFormat="0" applyFill="0" applyProtection="0">
      <alignment wrapText="1"/>
    </xf>
    <xf numFmtId="0" fontId="100" fillId="0" borderId="90" applyNumberFormat="0" applyFill="0" applyAlignment="0" applyProtection="0"/>
    <xf numFmtId="0" fontId="100" fillId="0" borderId="90" applyNumberFormat="0" applyFill="0" applyAlignment="0" applyProtection="0"/>
    <xf numFmtId="0" fontId="100" fillId="0" borderId="90" applyNumberFormat="0" applyFill="0" applyAlignment="0" applyProtection="0"/>
    <xf numFmtId="0" fontId="100" fillId="0" borderId="90" applyNumberFormat="0" applyFill="0" applyAlignment="0" applyProtection="0"/>
    <xf numFmtId="0" fontId="100" fillId="0" borderId="90" applyNumberFormat="0" applyFill="0" applyAlignment="0" applyProtection="0"/>
    <xf numFmtId="0" fontId="100" fillId="0" borderId="90" applyNumberFormat="0" applyFill="0" applyAlignment="0" applyProtection="0"/>
    <xf numFmtId="0" fontId="100" fillId="0" borderId="90" applyNumberFormat="0" applyFill="0" applyAlignment="0" applyProtection="0"/>
    <xf numFmtId="0" fontId="100" fillId="0" borderId="90" applyNumberFormat="0" applyFill="0" applyAlignment="0" applyProtection="0"/>
    <xf numFmtId="0" fontId="100" fillId="0" borderId="90" applyNumberFormat="0" applyFill="0" applyAlignment="0" applyProtection="0"/>
    <xf numFmtId="0" fontId="100" fillId="0" borderId="90" applyNumberFormat="0" applyFill="0" applyAlignment="0" applyProtection="0"/>
    <xf numFmtId="0" fontId="100" fillId="0" borderId="90" applyNumberFormat="0" applyFill="0" applyAlignment="0" applyProtection="0"/>
    <xf numFmtId="0" fontId="100" fillId="0" borderId="90" applyNumberFormat="0" applyFill="0" applyProtection="0">
      <alignment wrapText="1"/>
    </xf>
    <xf numFmtId="0" fontId="100" fillId="0" borderId="90" applyNumberFormat="0" applyFill="0" applyProtection="0">
      <alignment wrapText="1"/>
    </xf>
    <xf numFmtId="0" fontId="100" fillId="0" borderId="90" applyNumberFormat="0" applyFill="0" applyProtection="0">
      <alignment wrapText="1"/>
    </xf>
    <xf numFmtId="0" fontId="100" fillId="0" borderId="90" applyNumberFormat="0" applyFill="0" applyAlignment="0" applyProtection="0"/>
    <xf numFmtId="0" fontId="100" fillId="0" borderId="90" applyNumberFormat="0" applyFill="0" applyAlignment="0" applyProtection="0"/>
    <xf numFmtId="0" fontId="100" fillId="0" borderId="90" applyNumberFormat="0" applyFill="0" applyAlignment="0" applyProtection="0"/>
    <xf numFmtId="0" fontId="100" fillId="0" borderId="90" applyNumberFormat="0" applyFill="0" applyAlignment="0" applyProtection="0"/>
    <xf numFmtId="0" fontId="100" fillId="0" borderId="90" applyNumberFormat="0" applyFill="0" applyAlignment="0" applyProtection="0"/>
    <xf numFmtId="0" fontId="100" fillId="0" borderId="90" applyNumberFormat="0" applyFill="0" applyAlignment="0" applyProtection="0"/>
    <xf numFmtId="0" fontId="100" fillId="0" borderId="90" applyNumberFormat="0" applyFill="0" applyAlignment="0" applyProtection="0"/>
    <xf numFmtId="0" fontId="100" fillId="0" borderId="90" applyNumberFormat="0" applyFill="0" applyAlignment="0" applyProtection="0"/>
    <xf numFmtId="0" fontId="100" fillId="0" borderId="90" applyNumberFormat="0" applyFill="0" applyAlignment="0" applyProtection="0"/>
    <xf numFmtId="0" fontId="100" fillId="0" borderId="90" applyNumberFormat="0" applyFill="0" applyAlignment="0" applyProtection="0"/>
    <xf numFmtId="0" fontId="100" fillId="0" borderId="90" applyNumberFormat="0" applyFill="0" applyProtection="0">
      <alignment wrapText="1"/>
    </xf>
    <xf numFmtId="0" fontId="100" fillId="0" borderId="90" applyNumberFormat="0" applyFill="0" applyProtection="0">
      <alignment wrapText="1"/>
    </xf>
    <xf numFmtId="0" fontId="100" fillId="0" borderId="90" applyNumberFormat="0" applyFill="0" applyProtection="0">
      <alignment wrapText="1"/>
    </xf>
    <xf numFmtId="0" fontId="100" fillId="0" borderId="90" applyNumberFormat="0" applyFill="0" applyAlignment="0" applyProtection="0"/>
    <xf numFmtId="0" fontId="100" fillId="0" borderId="90" applyNumberFormat="0" applyFill="0" applyAlignment="0" applyProtection="0"/>
    <xf numFmtId="0" fontId="100" fillId="0" borderId="90" applyNumberFormat="0" applyFill="0" applyAlignment="0" applyProtection="0"/>
    <xf numFmtId="0" fontId="100" fillId="0" borderId="90" applyNumberFormat="0" applyFill="0" applyAlignment="0" applyProtection="0"/>
    <xf numFmtId="0" fontId="100" fillId="0" borderId="90" applyNumberFormat="0" applyFill="0" applyAlignment="0" applyProtection="0"/>
    <xf numFmtId="0" fontId="100" fillId="0" borderId="90" applyNumberFormat="0" applyFill="0" applyAlignment="0" applyProtection="0"/>
    <xf numFmtId="0" fontId="100" fillId="0" borderId="90" applyNumberFormat="0" applyFill="0" applyAlignment="0" applyProtection="0"/>
    <xf numFmtId="0" fontId="100" fillId="0" borderId="90" applyNumberFormat="0" applyFill="0" applyAlignment="0" applyProtection="0"/>
    <xf numFmtId="0" fontId="100" fillId="0" borderId="90" applyNumberFormat="0" applyFill="0" applyAlignment="0" applyProtection="0"/>
    <xf numFmtId="0" fontId="100" fillId="0" borderId="90" applyNumberFormat="0" applyFill="0" applyAlignment="0" applyProtection="0"/>
    <xf numFmtId="0" fontId="100" fillId="0" borderId="90" applyNumberFormat="0" applyFill="0" applyProtection="0">
      <alignment wrapText="1"/>
    </xf>
    <xf numFmtId="0" fontId="100" fillId="0" borderId="90" applyNumberFormat="0" applyFill="0" applyProtection="0">
      <alignment wrapText="1"/>
    </xf>
    <xf numFmtId="0" fontId="100" fillId="0" borderId="90" applyNumberFormat="0" applyFill="0" applyProtection="0">
      <alignment wrapText="1"/>
    </xf>
    <xf numFmtId="0" fontId="100" fillId="0" borderId="90" applyNumberFormat="0" applyFill="0" applyAlignment="0" applyProtection="0"/>
    <xf numFmtId="0" fontId="100" fillId="0" borderId="90" applyNumberFormat="0" applyFill="0" applyAlignment="0" applyProtection="0"/>
    <xf numFmtId="0" fontId="100" fillId="0" borderId="90" applyNumberFormat="0" applyFill="0" applyAlignment="0" applyProtection="0"/>
    <xf numFmtId="0" fontId="100" fillId="0" borderId="90" applyNumberFormat="0" applyFill="0" applyAlignment="0" applyProtection="0"/>
    <xf numFmtId="0" fontId="100" fillId="0" borderId="90" applyNumberFormat="0" applyFill="0" applyAlignment="0" applyProtection="0"/>
    <xf numFmtId="0" fontId="100" fillId="0" borderId="90" applyNumberFormat="0" applyFill="0" applyAlignment="0" applyProtection="0"/>
    <xf numFmtId="0" fontId="100" fillId="0" borderId="90" applyNumberFormat="0" applyFill="0" applyAlignment="0" applyProtection="0"/>
    <xf numFmtId="0" fontId="100" fillId="0" borderId="90" applyNumberFormat="0" applyFill="0" applyAlignment="0" applyProtection="0"/>
    <xf numFmtId="0" fontId="100" fillId="0" borderId="90" applyNumberFormat="0" applyFill="0" applyAlignment="0" applyProtection="0"/>
    <xf numFmtId="0" fontId="100" fillId="0" borderId="90" applyNumberFormat="0" applyFill="0" applyAlignment="0" applyProtection="0"/>
    <xf numFmtId="0" fontId="100" fillId="0" borderId="90" applyNumberFormat="0" applyFill="0" applyProtection="0">
      <alignment wrapText="1"/>
    </xf>
    <xf numFmtId="0" fontId="100" fillId="0" borderId="90" applyNumberFormat="0" applyFill="0" applyProtection="0">
      <alignment wrapText="1"/>
    </xf>
    <xf numFmtId="0" fontId="100" fillId="0" borderId="90" applyNumberFormat="0" applyFill="0" applyProtection="0">
      <alignment wrapText="1"/>
    </xf>
    <xf numFmtId="0" fontId="100" fillId="0" borderId="90" applyNumberFormat="0" applyFill="0" applyAlignment="0" applyProtection="0"/>
    <xf numFmtId="0" fontId="100" fillId="0" borderId="90" applyNumberFormat="0" applyFill="0" applyAlignment="0" applyProtection="0"/>
    <xf numFmtId="0" fontId="100" fillId="0" borderId="90" applyNumberFormat="0" applyFill="0" applyAlignment="0" applyProtection="0"/>
    <xf numFmtId="0" fontId="100" fillId="0" borderId="90" applyNumberFormat="0" applyFill="0" applyAlignment="0" applyProtection="0"/>
    <xf numFmtId="0" fontId="100" fillId="0" borderId="90" applyNumberFormat="0" applyFill="0" applyAlignment="0" applyProtection="0"/>
    <xf numFmtId="0" fontId="100" fillId="0" borderId="90" applyNumberFormat="0" applyFill="0" applyAlignment="0" applyProtection="0"/>
    <xf numFmtId="0" fontId="100" fillId="0" borderId="90" applyNumberFormat="0" applyFill="0" applyAlignment="0" applyProtection="0"/>
    <xf numFmtId="0" fontId="100" fillId="0" borderId="90" applyNumberFormat="0" applyFill="0" applyAlignment="0" applyProtection="0"/>
    <xf numFmtId="0" fontId="100" fillId="0" borderId="90" applyNumberFormat="0" applyFill="0" applyAlignment="0" applyProtection="0"/>
    <xf numFmtId="0" fontId="100" fillId="0" borderId="90" applyNumberFormat="0" applyFill="0" applyAlignment="0" applyProtection="0"/>
    <xf numFmtId="0" fontId="100" fillId="0" borderId="90" applyNumberFormat="0" applyFill="0" applyProtection="0">
      <alignment wrapText="1"/>
    </xf>
    <xf numFmtId="0" fontId="100" fillId="0" borderId="90" applyNumberFormat="0" applyFill="0" applyProtection="0">
      <alignment wrapText="1"/>
    </xf>
    <xf numFmtId="0" fontId="100" fillId="0" borderId="90" applyNumberFormat="0" applyFill="0" applyProtection="0">
      <alignment wrapText="1"/>
    </xf>
    <xf numFmtId="0" fontId="100" fillId="0" borderId="90" applyNumberFormat="0" applyFill="0" applyAlignment="0" applyProtection="0"/>
    <xf numFmtId="0" fontId="100" fillId="0" borderId="90" applyNumberFormat="0" applyFill="0" applyAlignment="0" applyProtection="0"/>
    <xf numFmtId="0" fontId="100" fillId="0" borderId="90" applyNumberFormat="0" applyFill="0" applyProtection="0">
      <alignment wrapText="1"/>
    </xf>
    <xf numFmtId="0" fontId="100" fillId="0" borderId="90" applyNumberFormat="0" applyFill="0" applyProtection="0">
      <alignment wrapText="1"/>
    </xf>
    <xf numFmtId="0" fontId="100" fillId="0" borderId="90" applyNumberFormat="0" applyFill="0" applyProtection="0">
      <alignment wrapText="1"/>
    </xf>
    <xf numFmtId="0" fontId="100" fillId="0" borderId="90" applyNumberFormat="0" applyFill="0" applyProtection="0">
      <alignment wrapText="1"/>
    </xf>
    <xf numFmtId="0" fontId="100" fillId="0" borderId="90" applyNumberFormat="0" applyFill="0" applyProtection="0">
      <alignment wrapText="1"/>
    </xf>
    <xf numFmtId="0" fontId="100" fillId="0" borderId="90" applyNumberFormat="0" applyFill="0" applyProtection="0">
      <alignment wrapText="1"/>
    </xf>
    <xf numFmtId="0" fontId="100" fillId="0" borderId="0" applyNumberFormat="0" applyFill="0" applyBorder="0" applyProtection="0">
      <alignment wrapText="1"/>
    </xf>
    <xf numFmtId="0" fontId="100" fillId="0" borderId="0" applyNumberFormat="0" applyFill="0" applyBorder="0" applyProtection="0">
      <alignment wrapText="1"/>
    </xf>
    <xf numFmtId="0" fontId="100" fillId="0" borderId="0" applyNumberFormat="0" applyFill="0" applyBorder="0" applyProtection="0">
      <alignment wrapText="1"/>
    </xf>
    <xf numFmtId="0" fontId="100" fillId="0" borderId="0" applyNumberFormat="0" applyFill="0" applyBorder="0" applyProtection="0">
      <alignment wrapText="1"/>
    </xf>
    <xf numFmtId="0" fontId="100" fillId="0" borderId="0" applyNumberFormat="0" applyFill="0" applyBorder="0" applyProtection="0">
      <alignment wrapText="1"/>
    </xf>
    <xf numFmtId="0" fontId="100" fillId="0" borderId="0" applyNumberFormat="0" applyFill="0" applyBorder="0" applyProtection="0">
      <alignment wrapText="1"/>
    </xf>
    <xf numFmtId="0" fontId="100" fillId="0" borderId="0" applyNumberFormat="0" applyFill="0" applyBorder="0" applyProtection="0">
      <alignment wrapText="1"/>
    </xf>
    <xf numFmtId="0" fontId="100" fillId="0" borderId="0" applyNumberFormat="0" applyFill="0" applyBorder="0" applyProtection="0">
      <alignment wrapText="1"/>
    </xf>
    <xf numFmtId="0" fontId="100" fillId="0" borderId="0" applyNumberFormat="0" applyFill="0" applyBorder="0" applyProtection="0">
      <alignment wrapText="1"/>
    </xf>
    <xf numFmtId="0" fontId="100" fillId="0" borderId="0" applyNumberFormat="0" applyFill="0" applyBorder="0" applyProtection="0">
      <alignment wrapText="1"/>
    </xf>
    <xf numFmtId="0" fontId="100" fillId="0" borderId="0" applyNumberFormat="0" applyFill="0" applyBorder="0" applyProtection="0">
      <alignment wrapText="1"/>
    </xf>
    <xf numFmtId="0" fontId="100" fillId="0" borderId="0" applyNumberFormat="0" applyFill="0" applyBorder="0" applyProtection="0">
      <alignment wrapText="1"/>
    </xf>
    <xf numFmtId="0" fontId="100" fillId="0" borderId="0" applyNumberFormat="0" applyFill="0" applyBorder="0" applyProtection="0">
      <alignment wrapText="1"/>
    </xf>
    <xf numFmtId="0" fontId="100" fillId="0" borderId="0" applyNumberFormat="0" applyFill="0" applyBorder="0" applyProtection="0">
      <alignment wrapText="1"/>
    </xf>
    <xf numFmtId="0" fontId="100" fillId="0" borderId="0" applyNumberFormat="0" applyFill="0" applyBorder="0" applyProtection="0">
      <alignment wrapText="1"/>
    </xf>
    <xf numFmtId="0" fontId="100" fillId="0" borderId="0" applyNumberFormat="0" applyFill="0" applyBorder="0" applyProtection="0">
      <alignment wrapText="1"/>
    </xf>
    <xf numFmtId="0" fontId="100" fillId="0" borderId="0" applyNumberFormat="0" applyFill="0" applyBorder="0" applyProtection="0">
      <alignment wrapText="1"/>
    </xf>
    <xf numFmtId="0" fontId="100" fillId="0" borderId="0" applyNumberFormat="0" applyFill="0" applyBorder="0" applyProtection="0">
      <alignment wrapText="1"/>
    </xf>
    <xf numFmtId="0" fontId="100" fillId="0" borderId="0" applyNumberFormat="0" applyFill="0" applyBorder="0" applyAlignment="0" applyProtection="0"/>
    <xf numFmtId="0" fontId="100" fillId="0" borderId="0" applyNumberFormat="0" applyFill="0" applyBorder="0" applyProtection="0">
      <alignment wrapText="1"/>
    </xf>
    <xf numFmtId="0" fontId="100" fillId="0" borderId="0" applyNumberFormat="0" applyFill="0" applyBorder="0" applyProtection="0">
      <alignment wrapText="1"/>
    </xf>
    <xf numFmtId="0" fontId="100" fillId="0" borderId="0" applyNumberFormat="0" applyFill="0" applyBorder="0" applyProtection="0">
      <alignment wrapText="1"/>
    </xf>
    <xf numFmtId="0" fontId="100" fillId="0" borderId="0" applyNumberFormat="0" applyFill="0" applyBorder="0" applyProtection="0">
      <alignment wrapText="1"/>
    </xf>
    <xf numFmtId="0" fontId="100" fillId="0" borderId="0" applyNumberFormat="0" applyFill="0" applyBorder="0" applyProtection="0">
      <alignment wrapText="1"/>
    </xf>
    <xf numFmtId="0" fontId="100" fillId="0" borderId="0" applyNumberFormat="0" applyFill="0" applyBorder="0" applyProtection="0">
      <alignment wrapText="1"/>
    </xf>
    <xf numFmtId="0" fontId="100" fillId="0" borderId="0" applyNumberFormat="0" applyFill="0" applyBorder="0" applyProtection="0">
      <alignment wrapText="1"/>
    </xf>
    <xf numFmtId="0" fontId="100" fillId="0" borderId="0" applyNumberFormat="0" applyFill="0" applyBorder="0" applyProtection="0">
      <alignment wrapText="1"/>
    </xf>
    <xf numFmtId="0" fontId="100" fillId="0" borderId="0" applyNumberFormat="0" applyFill="0" applyBorder="0" applyProtection="0">
      <alignment wrapText="1"/>
    </xf>
    <xf numFmtId="0" fontId="100" fillId="0" borderId="0" applyNumberFormat="0" applyFill="0" applyBorder="0" applyProtection="0">
      <alignment wrapText="1"/>
    </xf>
    <xf numFmtId="0" fontId="100" fillId="0" borderId="0" applyNumberFormat="0" applyFill="0" applyBorder="0" applyProtection="0">
      <alignment wrapText="1"/>
    </xf>
    <xf numFmtId="0" fontId="100" fillId="0" borderId="0" applyNumberFormat="0" applyFill="0" applyBorder="0" applyProtection="0">
      <alignment wrapText="1"/>
    </xf>
    <xf numFmtId="0" fontId="100" fillId="0" borderId="0" applyNumberFormat="0" applyFill="0" applyBorder="0" applyProtection="0">
      <alignment wrapText="1"/>
    </xf>
    <xf numFmtId="0" fontId="100" fillId="0" borderId="0" applyNumberFormat="0" applyFill="0" applyBorder="0" applyProtection="0">
      <alignment wrapText="1"/>
    </xf>
    <xf numFmtId="0" fontId="100" fillId="0" borderId="0" applyNumberFormat="0" applyFill="0" applyBorder="0" applyProtection="0">
      <alignment wrapText="1"/>
    </xf>
    <xf numFmtId="0" fontId="100" fillId="0" borderId="0" applyNumberFormat="0" applyFill="0" applyBorder="0" applyProtection="0">
      <alignment wrapText="1"/>
    </xf>
    <xf numFmtId="0" fontId="101" fillId="0" borderId="0" applyNumberFormat="0" applyFill="0" applyBorder="0" applyAlignment="0" applyProtection="0"/>
    <xf numFmtId="0" fontId="101" fillId="0" borderId="0" applyNumberFormat="0" applyFill="0" applyBorder="0" applyAlignment="0" applyProtection="0"/>
    <xf numFmtId="0" fontId="102" fillId="56" borderId="86" applyNumberFormat="0" applyProtection="0">
      <alignment wrapText="1"/>
    </xf>
    <xf numFmtId="0" fontId="102" fillId="56" borderId="86" applyNumberFormat="0" applyProtection="0">
      <alignment wrapText="1"/>
    </xf>
    <xf numFmtId="0" fontId="102" fillId="56" borderId="86" applyNumberFormat="0" applyProtection="0">
      <alignment wrapText="1"/>
    </xf>
    <xf numFmtId="0" fontId="102" fillId="56" borderId="86" applyNumberFormat="0" applyProtection="0">
      <alignment wrapText="1"/>
    </xf>
    <xf numFmtId="0" fontId="102" fillId="56" borderId="86" applyNumberFormat="0" applyProtection="0">
      <alignment wrapText="1"/>
    </xf>
    <xf numFmtId="0" fontId="102" fillId="56" borderId="86" applyNumberFormat="0" applyProtection="0">
      <alignment wrapText="1"/>
    </xf>
    <xf numFmtId="0" fontId="102" fillId="56" borderId="86" applyNumberFormat="0" applyProtection="0">
      <alignment wrapText="1"/>
    </xf>
    <xf numFmtId="0" fontId="102" fillId="56" borderId="86" applyNumberFormat="0" applyProtection="0">
      <alignment wrapText="1"/>
    </xf>
    <xf numFmtId="0" fontId="102" fillId="56" borderId="86" applyNumberFormat="0" applyProtection="0">
      <alignment wrapText="1"/>
    </xf>
    <xf numFmtId="0" fontId="102" fillId="56" borderId="86" applyNumberFormat="0" applyProtection="0">
      <alignment wrapText="1"/>
    </xf>
    <xf numFmtId="0" fontId="102" fillId="56" borderId="86" applyNumberFormat="0" applyProtection="0">
      <alignment wrapText="1"/>
    </xf>
    <xf numFmtId="0" fontId="102" fillId="56" borderId="86" applyNumberFormat="0" applyProtection="0">
      <alignment wrapText="1"/>
    </xf>
    <xf numFmtId="0" fontId="102" fillId="56" borderId="86" applyNumberFormat="0" applyProtection="0">
      <alignment wrapText="1"/>
    </xf>
    <xf numFmtId="0" fontId="102" fillId="56" borderId="86" applyNumberFormat="0" applyProtection="0">
      <alignment wrapText="1"/>
    </xf>
    <xf numFmtId="0" fontId="102" fillId="56" borderId="86" applyNumberFormat="0" applyProtection="0">
      <alignment wrapText="1"/>
    </xf>
    <xf numFmtId="0" fontId="102" fillId="56" borderId="86" applyNumberFormat="0" applyProtection="0">
      <alignment wrapText="1"/>
    </xf>
    <xf numFmtId="0" fontId="102" fillId="56" borderId="86" applyNumberFormat="0" applyProtection="0">
      <alignment wrapText="1"/>
    </xf>
    <xf numFmtId="0" fontId="102" fillId="56" borderId="86" applyNumberFormat="0" applyProtection="0">
      <alignment wrapText="1"/>
    </xf>
    <xf numFmtId="0" fontId="102" fillId="56" borderId="86" applyNumberFormat="0" applyProtection="0">
      <alignment wrapText="1"/>
    </xf>
    <xf numFmtId="0" fontId="102" fillId="56" borderId="86" applyNumberFormat="0" applyProtection="0">
      <alignment wrapText="1"/>
    </xf>
    <xf numFmtId="0" fontId="102" fillId="56" borderId="86" applyNumberFormat="0" applyProtection="0">
      <alignment wrapText="1"/>
    </xf>
    <xf numFmtId="0" fontId="102" fillId="56" borderId="86" applyNumberFormat="0" applyProtection="0">
      <alignment wrapText="1"/>
    </xf>
    <xf numFmtId="0" fontId="102" fillId="56" borderId="86" applyNumberFormat="0" applyProtection="0">
      <alignment wrapText="1"/>
    </xf>
    <xf numFmtId="0" fontId="102" fillId="56" borderId="86" applyNumberFormat="0" applyProtection="0">
      <alignment wrapText="1"/>
    </xf>
    <xf numFmtId="0" fontId="102" fillId="56" borderId="86" applyNumberFormat="0" applyProtection="0">
      <alignment wrapText="1"/>
    </xf>
    <xf numFmtId="0" fontId="102" fillId="56" borderId="86" applyNumberFormat="0" applyProtection="0">
      <alignment wrapText="1"/>
    </xf>
    <xf numFmtId="0" fontId="102" fillId="56" borderId="86" applyNumberFormat="0" applyProtection="0">
      <alignment wrapText="1"/>
    </xf>
    <xf numFmtId="0" fontId="102" fillId="57" borderId="86" applyNumberFormat="0" applyAlignment="0" applyProtection="0"/>
    <xf numFmtId="0" fontId="102" fillId="57" borderId="86" applyNumberFormat="0" applyAlignment="0" applyProtection="0"/>
    <xf numFmtId="0" fontId="102" fillId="56" borderId="86" applyNumberFormat="0" applyProtection="0">
      <alignment wrapText="1"/>
    </xf>
    <xf numFmtId="0" fontId="102" fillId="56" borderId="86" applyNumberFormat="0" applyProtection="0">
      <alignment wrapText="1"/>
    </xf>
    <xf numFmtId="0" fontId="102" fillId="57" borderId="86" applyNumberFormat="0" applyAlignment="0" applyProtection="0"/>
    <xf numFmtId="0" fontId="102" fillId="57" borderId="86" applyNumberFormat="0" applyAlignment="0" applyProtection="0"/>
    <xf numFmtId="0" fontId="102" fillId="57" borderId="86" applyNumberFormat="0" applyAlignment="0" applyProtection="0"/>
    <xf numFmtId="0" fontId="102" fillId="57" borderId="86" applyNumberFormat="0" applyAlignment="0" applyProtection="0"/>
    <xf numFmtId="0" fontId="102" fillId="57" borderId="86" applyNumberFormat="0" applyAlignment="0" applyProtection="0"/>
    <xf numFmtId="0" fontId="102" fillId="57" borderId="86" applyNumberFormat="0" applyAlignment="0" applyProtection="0"/>
    <xf numFmtId="0" fontId="102" fillId="57" borderId="86" applyNumberFormat="0" applyAlignment="0" applyProtection="0"/>
    <xf numFmtId="0" fontId="102" fillId="57" borderId="86" applyNumberFormat="0" applyAlignment="0" applyProtection="0"/>
    <xf numFmtId="0" fontId="102" fillId="57" borderId="86" applyNumberFormat="0" applyAlignment="0" applyProtection="0"/>
    <xf numFmtId="0" fontId="102" fillId="57" borderId="86" applyNumberFormat="0" applyAlignment="0" applyProtection="0"/>
    <xf numFmtId="0" fontId="102" fillId="57" borderId="86" applyNumberFormat="0" applyAlignment="0" applyProtection="0"/>
    <xf numFmtId="0" fontId="102" fillId="56" borderId="86" applyNumberFormat="0" applyProtection="0">
      <alignment wrapText="1"/>
    </xf>
    <xf numFmtId="0" fontId="102" fillId="56" borderId="86" applyNumberFormat="0" applyProtection="0">
      <alignment wrapText="1"/>
    </xf>
    <xf numFmtId="0" fontId="102" fillId="56" borderId="86" applyNumberFormat="0" applyProtection="0">
      <alignment wrapText="1"/>
    </xf>
    <xf numFmtId="0" fontId="102" fillId="57" borderId="86" applyNumberFormat="0" applyAlignment="0" applyProtection="0"/>
    <xf numFmtId="0" fontId="102" fillId="57" borderId="86" applyNumberFormat="0" applyAlignment="0" applyProtection="0"/>
    <xf numFmtId="0" fontId="102" fillId="57" borderId="86" applyNumberFormat="0" applyAlignment="0" applyProtection="0"/>
    <xf numFmtId="0" fontId="102" fillId="57" borderId="86" applyNumberFormat="0" applyAlignment="0" applyProtection="0"/>
    <xf numFmtId="0" fontId="102" fillId="57" borderId="86" applyNumberFormat="0" applyAlignment="0" applyProtection="0"/>
    <xf numFmtId="0" fontId="102" fillId="57" borderId="86" applyNumberFormat="0" applyAlignment="0" applyProtection="0"/>
    <xf numFmtId="0" fontId="102" fillId="57" borderId="86" applyNumberFormat="0" applyAlignment="0" applyProtection="0"/>
    <xf numFmtId="0" fontId="102" fillId="57" borderId="86" applyNumberFormat="0" applyAlignment="0" applyProtection="0"/>
    <xf numFmtId="0" fontId="102" fillId="57" borderId="86" applyNumberFormat="0" applyAlignment="0" applyProtection="0"/>
    <xf numFmtId="0" fontId="102" fillId="57" borderId="86" applyNumberFormat="0" applyAlignment="0" applyProtection="0"/>
    <xf numFmtId="0" fontId="102" fillId="56" borderId="86" applyNumberFormat="0" applyProtection="0">
      <alignment wrapText="1"/>
    </xf>
    <xf numFmtId="0" fontId="102" fillId="56" borderId="86" applyNumberFormat="0" applyProtection="0">
      <alignment wrapText="1"/>
    </xf>
    <xf numFmtId="0" fontId="102" fillId="56" borderId="86" applyNumberFormat="0" applyProtection="0">
      <alignment wrapText="1"/>
    </xf>
    <xf numFmtId="0" fontId="102" fillId="57" borderId="86" applyNumberFormat="0" applyAlignment="0" applyProtection="0"/>
    <xf numFmtId="0" fontId="102" fillId="57" borderId="86" applyNumberFormat="0" applyAlignment="0" applyProtection="0"/>
    <xf numFmtId="0" fontId="102" fillId="57" borderId="86" applyNumberFormat="0" applyAlignment="0" applyProtection="0"/>
    <xf numFmtId="0" fontId="102" fillId="57" borderId="86" applyNumberFormat="0" applyAlignment="0" applyProtection="0"/>
    <xf numFmtId="0" fontId="102" fillId="57" borderId="86" applyNumberFormat="0" applyAlignment="0" applyProtection="0"/>
    <xf numFmtId="0" fontId="102" fillId="57" borderId="86" applyNumberFormat="0" applyAlignment="0" applyProtection="0"/>
    <xf numFmtId="0" fontId="102" fillId="57" borderId="86" applyNumberFormat="0" applyAlignment="0" applyProtection="0"/>
    <xf numFmtId="0" fontId="102" fillId="57" borderId="86" applyNumberFormat="0" applyAlignment="0" applyProtection="0"/>
    <xf numFmtId="0" fontId="102" fillId="57" borderId="86" applyNumberFormat="0" applyAlignment="0" applyProtection="0"/>
    <xf numFmtId="0" fontId="102" fillId="57" borderId="86" applyNumberFormat="0" applyAlignment="0" applyProtection="0"/>
    <xf numFmtId="0" fontId="102" fillId="56" borderId="86" applyNumberFormat="0" applyProtection="0">
      <alignment wrapText="1"/>
    </xf>
    <xf numFmtId="0" fontId="102" fillId="56" borderId="86" applyNumberFormat="0" applyProtection="0">
      <alignment wrapText="1"/>
    </xf>
    <xf numFmtId="0" fontId="102" fillId="56" borderId="86" applyNumberFormat="0" applyProtection="0">
      <alignment wrapText="1"/>
    </xf>
    <xf numFmtId="0" fontId="102" fillId="57" borderId="86" applyNumberFormat="0" applyAlignment="0" applyProtection="0"/>
    <xf numFmtId="0" fontId="102" fillId="57" borderId="86" applyNumberFormat="0" applyAlignment="0" applyProtection="0"/>
    <xf numFmtId="0" fontId="102" fillId="57" borderId="86" applyNumberFormat="0" applyAlignment="0" applyProtection="0"/>
    <xf numFmtId="0" fontId="102" fillId="57" borderId="86" applyNumberFormat="0" applyAlignment="0" applyProtection="0"/>
    <xf numFmtId="0" fontId="102" fillId="57" borderId="86" applyNumberFormat="0" applyAlignment="0" applyProtection="0"/>
    <xf numFmtId="0" fontId="102" fillId="57" borderId="86" applyNumberFormat="0" applyAlignment="0" applyProtection="0"/>
    <xf numFmtId="0" fontId="102" fillId="57" borderId="86" applyNumberFormat="0" applyAlignment="0" applyProtection="0"/>
    <xf numFmtId="0" fontId="102" fillId="57" borderId="86" applyNumberFormat="0" applyAlignment="0" applyProtection="0"/>
    <xf numFmtId="0" fontId="102" fillId="57" borderId="86" applyNumberFormat="0" applyAlignment="0" applyProtection="0"/>
    <xf numFmtId="0" fontId="102" fillId="57" borderId="86" applyNumberFormat="0" applyAlignment="0" applyProtection="0"/>
    <xf numFmtId="0" fontId="102" fillId="56" borderId="86" applyNumberFormat="0" applyProtection="0">
      <alignment wrapText="1"/>
    </xf>
    <xf numFmtId="0" fontId="102" fillId="56" borderId="86" applyNumberFormat="0" applyProtection="0">
      <alignment wrapText="1"/>
    </xf>
    <xf numFmtId="0" fontId="102" fillId="56" borderId="86" applyNumberFormat="0" applyProtection="0">
      <alignment wrapText="1"/>
    </xf>
    <xf numFmtId="0" fontId="102" fillId="57" borderId="86" applyNumberFormat="0" applyAlignment="0" applyProtection="0"/>
    <xf numFmtId="0" fontId="102" fillId="57" borderId="86" applyNumberFormat="0" applyAlignment="0" applyProtection="0"/>
    <xf numFmtId="0" fontId="102" fillId="57" borderId="86" applyNumberFormat="0" applyAlignment="0" applyProtection="0"/>
    <xf numFmtId="0" fontId="102" fillId="57" borderId="86" applyNumberFormat="0" applyAlignment="0" applyProtection="0"/>
    <xf numFmtId="0" fontId="102" fillId="57" borderId="86" applyNumberFormat="0" applyAlignment="0" applyProtection="0"/>
    <xf numFmtId="0" fontId="102" fillId="57" borderId="86" applyNumberFormat="0" applyAlignment="0" applyProtection="0"/>
    <xf numFmtId="0" fontId="102" fillId="57" borderId="86" applyNumberFormat="0" applyAlignment="0" applyProtection="0"/>
    <xf numFmtId="0" fontId="102" fillId="57" borderId="86" applyNumberFormat="0" applyAlignment="0" applyProtection="0"/>
    <xf numFmtId="0" fontId="102" fillId="57" borderId="86" applyNumberFormat="0" applyAlignment="0" applyProtection="0"/>
    <xf numFmtId="0" fontId="102" fillId="57" borderId="86" applyNumberFormat="0" applyAlignment="0" applyProtection="0"/>
    <xf numFmtId="0" fontId="102" fillId="56" borderId="86" applyNumberFormat="0" applyProtection="0">
      <alignment wrapText="1"/>
    </xf>
    <xf numFmtId="0" fontId="102" fillId="56" borderId="86" applyNumberFormat="0" applyProtection="0">
      <alignment wrapText="1"/>
    </xf>
    <xf numFmtId="0" fontId="102" fillId="56" borderId="86" applyNumberFormat="0" applyProtection="0">
      <alignment wrapText="1"/>
    </xf>
    <xf numFmtId="0" fontId="102" fillId="57" borderId="86" applyNumberFormat="0" applyAlignment="0" applyProtection="0"/>
    <xf numFmtId="0" fontId="102" fillId="57" borderId="86" applyNumberFormat="0" applyAlignment="0" applyProtection="0"/>
    <xf numFmtId="0" fontId="102" fillId="56" borderId="86" applyNumberFormat="0" applyProtection="0">
      <alignment wrapText="1"/>
    </xf>
    <xf numFmtId="0" fontId="102" fillId="56" borderId="86" applyNumberFormat="0" applyProtection="0">
      <alignment wrapText="1"/>
    </xf>
    <xf numFmtId="0" fontId="102" fillId="56" borderId="86" applyNumberFormat="0" applyProtection="0">
      <alignment wrapText="1"/>
    </xf>
    <xf numFmtId="0" fontId="102" fillId="56" borderId="86" applyNumberFormat="0" applyProtection="0">
      <alignment wrapText="1"/>
    </xf>
    <xf numFmtId="0" fontId="102" fillId="56" borderId="86" applyNumberFormat="0" applyProtection="0">
      <alignment wrapText="1"/>
    </xf>
    <xf numFmtId="0" fontId="102" fillId="56" borderId="86" applyNumberFormat="0" applyProtection="0">
      <alignment wrapText="1"/>
    </xf>
    <xf numFmtId="0" fontId="103" fillId="0" borderId="91" applyNumberFormat="0" applyFill="0" applyAlignment="0" applyProtection="0"/>
    <xf numFmtId="0" fontId="95" fillId="85" borderId="87" applyNumberFormat="0" applyAlignment="0" applyProtection="0"/>
    <xf numFmtId="0" fontId="104" fillId="0" borderId="92" applyNumberFormat="0" applyFill="0" applyAlignment="0" applyProtection="0"/>
    <xf numFmtId="0" fontId="104" fillId="0" borderId="92" applyNumberFormat="0" applyFill="0" applyProtection="0">
      <alignment wrapText="1"/>
    </xf>
    <xf numFmtId="0" fontId="104" fillId="0" borderId="92" applyNumberFormat="0" applyFill="0" applyProtection="0">
      <alignment wrapText="1"/>
    </xf>
    <xf numFmtId="0" fontId="104" fillId="0" borderId="92" applyNumberFormat="0" applyFill="0" applyProtection="0">
      <alignment wrapText="1"/>
    </xf>
    <xf numFmtId="0" fontId="104" fillId="0" borderId="92" applyNumberFormat="0" applyFill="0" applyProtection="0">
      <alignment wrapText="1"/>
    </xf>
    <xf numFmtId="0" fontId="104" fillId="0" borderId="92" applyNumberFormat="0" applyFill="0" applyProtection="0">
      <alignment wrapText="1"/>
    </xf>
    <xf numFmtId="0" fontId="104" fillId="0" borderId="92" applyNumberFormat="0" applyFill="0" applyProtection="0">
      <alignment wrapText="1"/>
    </xf>
    <xf numFmtId="0" fontId="104" fillId="0" borderId="92" applyNumberFormat="0" applyFill="0" applyProtection="0">
      <alignment wrapText="1"/>
    </xf>
    <xf numFmtId="0" fontId="104" fillId="0" borderId="92" applyNumberFormat="0" applyFill="0" applyProtection="0">
      <alignment wrapText="1"/>
    </xf>
    <xf numFmtId="0" fontId="104" fillId="0" borderId="92" applyNumberFormat="0" applyFill="0" applyProtection="0">
      <alignment wrapText="1"/>
    </xf>
    <xf numFmtId="0" fontId="104" fillId="0" borderId="92" applyNumberFormat="0" applyFill="0" applyProtection="0">
      <alignment wrapText="1"/>
    </xf>
    <xf numFmtId="0" fontId="104" fillId="0" borderId="92" applyNumberFormat="0" applyFill="0" applyProtection="0">
      <alignment wrapText="1"/>
    </xf>
    <xf numFmtId="0" fontId="104" fillId="0" borderId="92" applyNumberFormat="0" applyFill="0" applyProtection="0">
      <alignment wrapText="1"/>
    </xf>
    <xf numFmtId="0" fontId="104" fillId="0" borderId="92" applyNumberFormat="0" applyFill="0" applyProtection="0">
      <alignment wrapText="1"/>
    </xf>
    <xf numFmtId="0" fontId="104" fillId="0" borderId="92" applyNumberFormat="0" applyFill="0" applyProtection="0">
      <alignment wrapText="1"/>
    </xf>
    <xf numFmtId="0" fontId="104" fillId="0" borderId="92" applyNumberFormat="0" applyFill="0" applyProtection="0">
      <alignment wrapText="1"/>
    </xf>
    <xf numFmtId="0" fontId="104" fillId="0" borderId="92" applyNumberFormat="0" applyFill="0" applyProtection="0">
      <alignment wrapText="1"/>
    </xf>
    <xf numFmtId="0" fontId="104" fillId="0" borderId="92" applyNumberFormat="0" applyFill="0" applyProtection="0">
      <alignment wrapText="1"/>
    </xf>
    <xf numFmtId="0" fontId="104" fillId="0" borderId="92" applyNumberFormat="0" applyFill="0" applyProtection="0">
      <alignment wrapText="1"/>
    </xf>
    <xf numFmtId="0" fontId="104" fillId="0" borderId="92" applyNumberFormat="0" applyFill="0" applyProtection="0">
      <alignment wrapText="1"/>
    </xf>
    <xf numFmtId="0" fontId="104" fillId="0" borderId="92" applyNumberFormat="0" applyFill="0" applyProtection="0">
      <alignment wrapText="1"/>
    </xf>
    <xf numFmtId="0" fontId="104" fillId="0" borderId="92" applyNumberFormat="0" applyFill="0" applyProtection="0">
      <alignment wrapText="1"/>
    </xf>
    <xf numFmtId="0" fontId="104" fillId="0" borderId="92" applyNumberFormat="0" applyFill="0" applyProtection="0">
      <alignment wrapText="1"/>
    </xf>
    <xf numFmtId="0" fontId="104" fillId="0" borderId="92" applyNumberFormat="0" applyFill="0" applyProtection="0">
      <alignment wrapText="1"/>
    </xf>
    <xf numFmtId="0" fontId="104" fillId="0" borderId="92" applyNumberFormat="0" applyFill="0" applyProtection="0">
      <alignment wrapText="1"/>
    </xf>
    <xf numFmtId="0" fontId="104" fillId="0" borderId="92" applyNumberFormat="0" applyFill="0" applyProtection="0">
      <alignment wrapText="1"/>
    </xf>
    <xf numFmtId="0" fontId="104" fillId="0" borderId="92" applyNumberFormat="0" applyFill="0" applyProtection="0">
      <alignment wrapText="1"/>
    </xf>
    <xf numFmtId="0" fontId="104" fillId="0" borderId="92" applyNumberFormat="0" applyFill="0" applyProtection="0">
      <alignment wrapText="1"/>
    </xf>
    <xf numFmtId="0" fontId="104" fillId="0" borderId="92" applyNumberFormat="0" applyFill="0" applyAlignment="0" applyProtection="0"/>
    <xf numFmtId="0" fontId="104" fillId="0" borderId="92" applyNumberFormat="0" applyFill="0" applyAlignment="0" applyProtection="0"/>
    <xf numFmtId="0" fontId="104" fillId="0" borderId="92" applyNumberFormat="0" applyFill="0" applyProtection="0">
      <alignment wrapText="1"/>
    </xf>
    <xf numFmtId="0" fontId="104" fillId="0" borderId="92" applyNumberFormat="0" applyFill="0" applyProtection="0">
      <alignment wrapText="1"/>
    </xf>
    <xf numFmtId="0" fontId="104" fillId="0" borderId="92" applyNumberFormat="0" applyFill="0" applyAlignment="0" applyProtection="0"/>
    <xf numFmtId="0" fontId="104" fillId="0" borderId="92" applyNumberFormat="0" applyFill="0" applyAlignment="0" applyProtection="0"/>
    <xf numFmtId="0" fontId="104" fillId="0" borderId="92" applyNumberFormat="0" applyFill="0" applyAlignment="0" applyProtection="0"/>
    <xf numFmtId="0" fontId="104" fillId="0" borderId="92" applyNumberFormat="0" applyFill="0" applyAlignment="0" applyProtection="0"/>
    <xf numFmtId="0" fontId="104" fillId="0" borderId="92" applyNumberFormat="0" applyFill="0" applyAlignment="0" applyProtection="0"/>
    <xf numFmtId="0" fontId="104" fillId="0" borderId="92" applyNumberFormat="0" applyFill="0" applyAlignment="0" applyProtection="0"/>
    <xf numFmtId="0" fontId="104" fillId="0" borderId="92" applyNumberFormat="0" applyFill="0" applyAlignment="0" applyProtection="0"/>
    <xf numFmtId="0" fontId="104" fillId="0" borderId="92" applyNumberFormat="0" applyFill="0" applyAlignment="0" applyProtection="0"/>
    <xf numFmtId="0" fontId="104" fillId="0" borderId="92" applyNumberFormat="0" applyFill="0" applyAlignment="0" applyProtection="0"/>
    <xf numFmtId="0" fontId="104" fillId="0" borderId="92" applyNumberFormat="0" applyFill="0" applyAlignment="0" applyProtection="0"/>
    <xf numFmtId="0" fontId="104" fillId="0" borderId="92" applyNumberFormat="0" applyFill="0" applyAlignment="0" applyProtection="0"/>
    <xf numFmtId="0" fontId="104" fillId="0" borderId="92" applyNumberFormat="0" applyFill="0" applyProtection="0">
      <alignment wrapText="1"/>
    </xf>
    <xf numFmtId="0" fontId="104" fillId="0" borderId="92" applyNumberFormat="0" applyFill="0" applyProtection="0">
      <alignment wrapText="1"/>
    </xf>
    <xf numFmtId="0" fontId="104" fillId="0" borderId="92" applyNumberFormat="0" applyFill="0" applyProtection="0">
      <alignment wrapText="1"/>
    </xf>
    <xf numFmtId="0" fontId="104" fillId="0" borderId="92" applyNumberFormat="0" applyFill="0" applyAlignment="0" applyProtection="0"/>
    <xf numFmtId="0" fontId="104" fillId="0" borderId="92" applyNumberFormat="0" applyFill="0" applyAlignment="0" applyProtection="0"/>
    <xf numFmtId="0" fontId="104" fillId="0" borderId="92" applyNumberFormat="0" applyFill="0" applyAlignment="0" applyProtection="0"/>
    <xf numFmtId="0" fontId="104" fillId="0" borderId="92" applyNumberFormat="0" applyFill="0" applyAlignment="0" applyProtection="0"/>
    <xf numFmtId="0" fontId="104" fillId="0" borderId="92" applyNumberFormat="0" applyFill="0" applyAlignment="0" applyProtection="0"/>
    <xf numFmtId="0" fontId="104" fillId="0" borderId="92" applyNumberFormat="0" applyFill="0" applyAlignment="0" applyProtection="0"/>
    <xf numFmtId="0" fontId="104" fillId="0" borderId="92" applyNumberFormat="0" applyFill="0" applyAlignment="0" applyProtection="0"/>
    <xf numFmtId="0" fontId="104" fillId="0" borderId="92" applyNumberFormat="0" applyFill="0" applyAlignment="0" applyProtection="0"/>
    <xf numFmtId="0" fontId="104" fillId="0" borderId="92" applyNumberFormat="0" applyFill="0" applyAlignment="0" applyProtection="0"/>
    <xf numFmtId="0" fontId="104" fillId="0" borderId="92" applyNumberFormat="0" applyFill="0" applyAlignment="0" applyProtection="0"/>
    <xf numFmtId="0" fontId="104" fillId="0" borderId="92" applyNumberFormat="0" applyFill="0" applyProtection="0">
      <alignment wrapText="1"/>
    </xf>
    <xf numFmtId="0" fontId="104" fillId="0" borderId="92" applyNumberFormat="0" applyFill="0" applyProtection="0">
      <alignment wrapText="1"/>
    </xf>
    <xf numFmtId="0" fontId="104" fillId="0" borderId="92" applyNumberFormat="0" applyFill="0" applyProtection="0">
      <alignment wrapText="1"/>
    </xf>
    <xf numFmtId="0" fontId="104" fillId="0" borderId="92" applyNumberFormat="0" applyFill="0" applyAlignment="0" applyProtection="0"/>
    <xf numFmtId="0" fontId="104" fillId="0" borderId="92" applyNumberFormat="0" applyFill="0" applyAlignment="0" applyProtection="0"/>
    <xf numFmtId="0" fontId="104" fillId="0" borderId="92" applyNumberFormat="0" applyFill="0" applyAlignment="0" applyProtection="0"/>
    <xf numFmtId="0" fontId="104" fillId="0" borderId="92" applyNumberFormat="0" applyFill="0" applyAlignment="0" applyProtection="0"/>
    <xf numFmtId="0" fontId="104" fillId="0" borderId="92" applyNumberFormat="0" applyFill="0" applyAlignment="0" applyProtection="0"/>
    <xf numFmtId="0" fontId="104" fillId="0" borderId="92" applyNumberFormat="0" applyFill="0" applyAlignment="0" applyProtection="0"/>
    <xf numFmtId="0" fontId="104" fillId="0" borderId="92" applyNumberFormat="0" applyFill="0" applyAlignment="0" applyProtection="0"/>
    <xf numFmtId="0" fontId="104" fillId="0" borderId="92" applyNumberFormat="0" applyFill="0" applyAlignment="0" applyProtection="0"/>
    <xf numFmtId="0" fontId="104" fillId="0" borderId="92" applyNumberFormat="0" applyFill="0" applyAlignment="0" applyProtection="0"/>
    <xf numFmtId="0" fontId="104" fillId="0" borderId="92" applyNumberFormat="0" applyFill="0" applyAlignment="0" applyProtection="0"/>
    <xf numFmtId="0" fontId="104" fillId="0" borderId="92" applyNumberFormat="0" applyFill="0" applyProtection="0">
      <alignment wrapText="1"/>
    </xf>
    <xf numFmtId="0" fontId="104" fillId="0" borderId="92" applyNumberFormat="0" applyFill="0" applyProtection="0">
      <alignment wrapText="1"/>
    </xf>
    <xf numFmtId="0" fontId="104" fillId="0" borderId="92" applyNumberFormat="0" applyFill="0" applyProtection="0">
      <alignment wrapText="1"/>
    </xf>
    <xf numFmtId="0" fontId="104" fillId="0" borderId="92" applyNumberFormat="0" applyFill="0" applyAlignment="0" applyProtection="0"/>
    <xf numFmtId="0" fontId="104" fillId="0" borderId="92" applyNumberFormat="0" applyFill="0" applyAlignment="0" applyProtection="0"/>
    <xf numFmtId="0" fontId="104" fillId="0" borderId="92" applyNumberFormat="0" applyFill="0" applyAlignment="0" applyProtection="0"/>
    <xf numFmtId="0" fontId="104" fillId="0" borderId="92" applyNumberFormat="0" applyFill="0" applyAlignment="0" applyProtection="0"/>
    <xf numFmtId="0" fontId="104" fillId="0" borderId="92" applyNumberFormat="0" applyFill="0" applyAlignment="0" applyProtection="0"/>
    <xf numFmtId="0" fontId="104" fillId="0" borderId="92" applyNumberFormat="0" applyFill="0" applyAlignment="0" applyProtection="0"/>
    <xf numFmtId="0" fontId="104" fillId="0" borderId="92" applyNumberFormat="0" applyFill="0" applyAlignment="0" applyProtection="0"/>
    <xf numFmtId="0" fontId="104" fillId="0" borderId="92" applyNumberFormat="0" applyFill="0" applyAlignment="0" applyProtection="0"/>
    <xf numFmtId="0" fontId="104" fillId="0" borderId="92" applyNumberFormat="0" applyFill="0" applyAlignment="0" applyProtection="0"/>
    <xf numFmtId="0" fontId="104" fillId="0" borderId="92" applyNumberFormat="0" applyFill="0" applyAlignment="0" applyProtection="0"/>
    <xf numFmtId="0" fontId="104" fillId="0" borderId="92" applyNumberFormat="0" applyFill="0" applyProtection="0">
      <alignment wrapText="1"/>
    </xf>
    <xf numFmtId="0" fontId="104" fillId="0" borderId="92" applyNumberFormat="0" applyFill="0" applyProtection="0">
      <alignment wrapText="1"/>
    </xf>
    <xf numFmtId="0" fontId="104" fillId="0" borderId="92" applyNumberFormat="0" applyFill="0" applyProtection="0">
      <alignment wrapText="1"/>
    </xf>
    <xf numFmtId="0" fontId="104" fillId="0" borderId="92" applyNumberFormat="0" applyFill="0" applyAlignment="0" applyProtection="0"/>
    <xf numFmtId="0" fontId="104" fillId="0" borderId="92" applyNumberFormat="0" applyFill="0" applyAlignment="0" applyProtection="0"/>
    <xf numFmtId="0" fontId="104" fillId="0" borderId="92" applyNumberFormat="0" applyFill="0" applyAlignment="0" applyProtection="0"/>
    <xf numFmtId="0" fontId="104" fillId="0" borderId="92" applyNumberFormat="0" applyFill="0" applyAlignment="0" applyProtection="0"/>
    <xf numFmtId="0" fontId="104" fillId="0" borderId="92" applyNumberFormat="0" applyFill="0" applyAlignment="0" applyProtection="0"/>
    <xf numFmtId="0" fontId="104" fillId="0" borderId="92" applyNumberFormat="0" applyFill="0" applyAlignment="0" applyProtection="0"/>
    <xf numFmtId="0" fontId="104" fillId="0" borderId="92" applyNumberFormat="0" applyFill="0" applyAlignment="0" applyProtection="0"/>
    <xf numFmtId="0" fontId="104" fillId="0" borderId="92" applyNumberFormat="0" applyFill="0" applyAlignment="0" applyProtection="0"/>
    <xf numFmtId="0" fontId="104" fillId="0" borderId="92" applyNumberFormat="0" applyFill="0" applyAlignment="0" applyProtection="0"/>
    <xf numFmtId="0" fontId="104" fillId="0" borderId="92" applyNumberFormat="0" applyFill="0" applyAlignment="0" applyProtection="0"/>
    <xf numFmtId="0" fontId="104" fillId="0" borderId="92" applyNumberFormat="0" applyFill="0" applyProtection="0">
      <alignment wrapText="1"/>
    </xf>
    <xf numFmtId="0" fontId="104" fillId="0" borderId="92" applyNumberFormat="0" applyFill="0" applyProtection="0">
      <alignment wrapText="1"/>
    </xf>
    <xf numFmtId="0" fontId="104" fillId="0" borderId="92" applyNumberFormat="0" applyFill="0" applyProtection="0">
      <alignment wrapText="1"/>
    </xf>
    <xf numFmtId="0" fontId="104" fillId="0" borderId="92" applyNumberFormat="0" applyFill="0" applyAlignment="0" applyProtection="0"/>
    <xf numFmtId="0" fontId="104" fillId="0" borderId="92" applyNumberFormat="0" applyFill="0" applyAlignment="0" applyProtection="0"/>
    <xf numFmtId="0" fontId="104" fillId="0" borderId="92" applyNumberFormat="0" applyFill="0" applyAlignment="0" applyProtection="0"/>
    <xf numFmtId="0" fontId="104" fillId="0" borderId="92" applyNumberFormat="0" applyFill="0" applyProtection="0">
      <alignment wrapText="1"/>
    </xf>
    <xf numFmtId="0" fontId="104" fillId="0" borderId="92" applyNumberFormat="0" applyFill="0" applyProtection="0">
      <alignment wrapText="1"/>
    </xf>
    <xf numFmtId="0" fontId="104" fillId="0" borderId="92" applyNumberFormat="0" applyFill="0" applyProtection="0">
      <alignment wrapText="1"/>
    </xf>
    <xf numFmtId="0" fontId="104" fillId="0" borderId="92" applyNumberFormat="0" applyFill="0" applyProtection="0">
      <alignment wrapText="1"/>
    </xf>
    <xf numFmtId="0" fontId="104" fillId="0" borderId="92" applyNumberFormat="0" applyFill="0" applyProtection="0">
      <alignment wrapText="1"/>
    </xf>
    <xf numFmtId="0" fontId="104" fillId="0" borderId="92" applyNumberFormat="0" applyFill="0" applyProtection="0">
      <alignment wrapText="1"/>
    </xf>
    <xf numFmtId="0" fontId="4" fillId="86" borderId="93" applyNumberFormat="0" applyFont="0" applyAlignment="0" applyProtection="0"/>
    <xf numFmtId="0" fontId="105" fillId="87" borderId="0" applyNumberFormat="0" applyBorder="0" applyAlignment="0" applyProtection="0"/>
    <xf numFmtId="0" fontId="105" fillId="88" borderId="0" applyNumberFormat="0" applyBorder="0" applyProtection="0">
      <alignment wrapText="1"/>
    </xf>
    <xf numFmtId="0" fontId="105" fillId="88" borderId="0" applyNumberFormat="0" applyBorder="0" applyProtection="0">
      <alignment wrapText="1"/>
    </xf>
    <xf numFmtId="0" fontId="105" fillId="88" borderId="0" applyNumberFormat="0" applyBorder="0" applyProtection="0">
      <alignment wrapText="1"/>
    </xf>
    <xf numFmtId="0" fontId="105" fillId="88" borderId="0" applyNumberFormat="0" applyBorder="0" applyProtection="0">
      <alignment wrapText="1"/>
    </xf>
    <xf numFmtId="0" fontId="105" fillId="88" borderId="0" applyNumberFormat="0" applyBorder="0" applyProtection="0">
      <alignment wrapText="1"/>
    </xf>
    <xf numFmtId="0" fontId="105" fillId="88" borderId="0" applyNumberFormat="0" applyBorder="0" applyProtection="0">
      <alignment wrapText="1"/>
    </xf>
    <xf numFmtId="0" fontId="105" fillId="88" borderId="0" applyNumberFormat="0" applyBorder="0" applyProtection="0">
      <alignment wrapText="1"/>
    </xf>
    <xf numFmtId="0" fontId="105" fillId="88" borderId="0" applyNumberFormat="0" applyBorder="0" applyProtection="0">
      <alignment wrapText="1"/>
    </xf>
    <xf numFmtId="0" fontId="105" fillId="88" borderId="0" applyNumberFormat="0" applyBorder="0" applyProtection="0">
      <alignment wrapText="1"/>
    </xf>
    <xf numFmtId="0" fontId="105" fillId="88" borderId="0" applyNumberFormat="0" applyBorder="0" applyProtection="0">
      <alignment wrapText="1"/>
    </xf>
    <xf numFmtId="0" fontId="105" fillId="88" borderId="0" applyNumberFormat="0" applyBorder="0" applyProtection="0">
      <alignment wrapText="1"/>
    </xf>
    <xf numFmtId="0" fontId="105" fillId="88" borderId="0" applyNumberFormat="0" applyBorder="0" applyProtection="0">
      <alignment wrapText="1"/>
    </xf>
    <xf numFmtId="0" fontId="105" fillId="88" borderId="0" applyNumberFormat="0" applyBorder="0" applyProtection="0">
      <alignment wrapText="1"/>
    </xf>
    <xf numFmtId="0" fontId="105" fillId="88" borderId="0" applyNumberFormat="0" applyBorder="0" applyProtection="0">
      <alignment wrapText="1"/>
    </xf>
    <xf numFmtId="0" fontId="105" fillId="88" borderId="0" applyNumberFormat="0" applyBorder="0" applyProtection="0">
      <alignment wrapText="1"/>
    </xf>
    <xf numFmtId="0" fontId="105" fillId="88" borderId="0" applyNumberFormat="0" applyBorder="0" applyProtection="0">
      <alignment wrapText="1"/>
    </xf>
    <xf numFmtId="0" fontId="105" fillId="88" borderId="0" applyNumberFormat="0" applyBorder="0" applyProtection="0">
      <alignment wrapText="1"/>
    </xf>
    <xf numFmtId="0" fontId="105" fillId="88" borderId="0" applyNumberFormat="0" applyBorder="0" applyProtection="0">
      <alignment wrapText="1"/>
    </xf>
    <xf numFmtId="0" fontId="105" fillId="87" borderId="0" applyNumberFormat="0" applyBorder="0" applyAlignment="0" applyProtection="0"/>
    <xf numFmtId="0" fontId="105" fillId="88" borderId="0" applyNumberFormat="0" applyBorder="0" applyProtection="0">
      <alignment wrapText="1"/>
    </xf>
    <xf numFmtId="0" fontId="105" fillId="88" borderId="0" applyNumberFormat="0" applyBorder="0" applyProtection="0">
      <alignment wrapText="1"/>
    </xf>
    <xf numFmtId="0" fontId="105" fillId="88" borderId="0" applyNumberFormat="0" applyBorder="0" applyProtection="0">
      <alignment wrapText="1"/>
    </xf>
    <xf numFmtId="0" fontId="105" fillId="88" borderId="0" applyNumberFormat="0" applyBorder="0" applyProtection="0">
      <alignment wrapText="1"/>
    </xf>
    <xf numFmtId="0" fontId="105" fillId="88" borderId="0" applyNumberFormat="0" applyBorder="0" applyProtection="0">
      <alignment wrapText="1"/>
    </xf>
    <xf numFmtId="0" fontId="105" fillId="88" borderId="0" applyNumberFormat="0" applyBorder="0" applyProtection="0">
      <alignment wrapText="1"/>
    </xf>
    <xf numFmtId="0" fontId="105" fillId="88" borderId="0" applyNumberFormat="0" applyBorder="0" applyProtection="0">
      <alignment wrapText="1"/>
    </xf>
    <xf numFmtId="0" fontId="105" fillId="88" borderId="0" applyNumberFormat="0" applyBorder="0" applyProtection="0">
      <alignment wrapText="1"/>
    </xf>
    <xf numFmtId="0" fontId="105" fillId="88" borderId="0" applyNumberFormat="0" applyBorder="0" applyProtection="0">
      <alignment wrapText="1"/>
    </xf>
    <xf numFmtId="0" fontId="105" fillId="88" borderId="0" applyNumberFormat="0" applyBorder="0" applyProtection="0">
      <alignment wrapText="1"/>
    </xf>
    <xf numFmtId="0" fontId="105" fillId="88" borderId="0" applyNumberFormat="0" applyBorder="0" applyProtection="0">
      <alignment wrapText="1"/>
    </xf>
    <xf numFmtId="0" fontId="105" fillId="88" borderId="0" applyNumberFormat="0" applyBorder="0" applyProtection="0">
      <alignment wrapText="1"/>
    </xf>
    <xf numFmtId="0" fontId="105" fillId="88" borderId="0" applyNumberFormat="0" applyBorder="0" applyProtection="0">
      <alignment wrapText="1"/>
    </xf>
    <xf numFmtId="0" fontId="105" fillId="88" borderId="0" applyNumberFormat="0" applyBorder="0" applyProtection="0">
      <alignment wrapText="1"/>
    </xf>
    <xf numFmtId="0" fontId="105" fillId="88" borderId="0" applyNumberFormat="0" applyBorder="0" applyProtection="0">
      <alignment wrapText="1"/>
    </xf>
    <xf numFmtId="0" fontId="105" fillId="88" borderId="0" applyNumberFormat="0" applyBorder="0" applyProtection="0">
      <alignment wrapText="1"/>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0" fillId="0" borderId="0"/>
    <xf numFmtId="0" fontId="4" fillId="0" borderId="0"/>
    <xf numFmtId="0" fontId="4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6" fillId="0" borderId="0"/>
    <xf numFmtId="0" fontId="4" fillId="0" borderId="0"/>
    <xf numFmtId="0" fontId="46" fillId="0" borderId="0"/>
    <xf numFmtId="0" fontId="46" fillId="0" borderId="0"/>
    <xf numFmtId="0" fontId="4" fillId="0" borderId="0"/>
    <xf numFmtId="0" fontId="46" fillId="0" borderId="0"/>
    <xf numFmtId="0" fontId="4" fillId="0" borderId="0"/>
    <xf numFmtId="0" fontId="4" fillId="0" borderId="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2" fontId="4" fillId="0" borderId="0"/>
    <xf numFmtId="0" fontId="46" fillId="0" borderId="0"/>
    <xf numFmtId="0" fontId="10" fillId="0" borderId="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0" fillId="0" borderId="0"/>
    <xf numFmtId="0" fontId="4" fillId="0" borderId="0"/>
    <xf numFmtId="0" fontId="4" fillId="0" borderId="0"/>
    <xf numFmtId="0" fontId="4" fillId="0" borderId="0"/>
    <xf numFmtId="0" fontId="4" fillId="0" borderId="0"/>
    <xf numFmtId="0" fontId="4" fillId="0" borderId="0"/>
    <xf numFmtId="0" fontId="10" fillId="0" borderId="0"/>
    <xf numFmtId="0" fontId="10" fillId="0" borderId="0"/>
    <xf numFmtId="0" fontId="10" fillId="0" borderId="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6" fillId="89" borderId="93" applyNumberFormat="0" applyProtection="0">
      <alignment wrapText="1"/>
    </xf>
    <xf numFmtId="0" fontId="46" fillId="89" borderId="93" applyNumberFormat="0" applyProtection="0">
      <alignment wrapText="1"/>
    </xf>
    <xf numFmtId="0" fontId="46" fillId="89" borderId="93" applyNumberFormat="0" applyProtection="0">
      <alignment wrapText="1"/>
    </xf>
    <xf numFmtId="0" fontId="46" fillId="89" borderId="93" applyNumberFormat="0" applyProtection="0">
      <alignment wrapText="1"/>
    </xf>
    <xf numFmtId="0" fontId="46" fillId="89" borderId="93" applyNumberFormat="0" applyProtection="0">
      <alignment wrapText="1"/>
    </xf>
    <xf numFmtId="0" fontId="46" fillId="89" borderId="93" applyNumberFormat="0" applyProtection="0">
      <alignment wrapText="1"/>
    </xf>
    <xf numFmtId="0" fontId="46" fillId="89" borderId="93" applyNumberFormat="0" applyProtection="0">
      <alignment wrapText="1"/>
    </xf>
    <xf numFmtId="0" fontId="46" fillId="89" borderId="93" applyNumberFormat="0" applyProtection="0">
      <alignment wrapText="1"/>
    </xf>
    <xf numFmtId="0" fontId="46" fillId="89" borderId="93" applyNumberFormat="0" applyProtection="0">
      <alignment wrapText="1"/>
    </xf>
    <xf numFmtId="0" fontId="46" fillId="89" borderId="93" applyNumberFormat="0" applyProtection="0">
      <alignment wrapText="1"/>
    </xf>
    <xf numFmtId="0" fontId="46" fillId="89" borderId="93" applyNumberFormat="0" applyProtection="0">
      <alignment wrapText="1"/>
    </xf>
    <xf numFmtId="0" fontId="46" fillId="89" borderId="93" applyNumberFormat="0" applyProtection="0">
      <alignment wrapText="1"/>
    </xf>
    <xf numFmtId="0" fontId="46" fillId="89" borderId="93" applyNumberFormat="0" applyProtection="0">
      <alignment wrapText="1"/>
    </xf>
    <xf numFmtId="0" fontId="46" fillId="89" borderId="93" applyNumberFormat="0" applyProtection="0">
      <alignment wrapText="1"/>
    </xf>
    <xf numFmtId="0" fontId="46" fillId="89" borderId="93" applyNumberFormat="0" applyProtection="0">
      <alignment wrapText="1"/>
    </xf>
    <xf numFmtId="0" fontId="46" fillId="89" borderId="93" applyNumberFormat="0" applyProtection="0">
      <alignment wrapText="1"/>
    </xf>
    <xf numFmtId="0" fontId="46" fillId="89" borderId="93" applyNumberFormat="0" applyProtection="0">
      <alignment wrapText="1"/>
    </xf>
    <xf numFmtId="0" fontId="46" fillId="89" borderId="93" applyNumberFormat="0" applyProtection="0">
      <alignment wrapText="1"/>
    </xf>
    <xf numFmtId="0" fontId="46" fillId="89" borderId="93" applyNumberFormat="0" applyProtection="0">
      <alignment wrapText="1"/>
    </xf>
    <xf numFmtId="0" fontId="46" fillId="89" borderId="93" applyNumberFormat="0" applyProtection="0">
      <alignment wrapText="1"/>
    </xf>
    <xf numFmtId="0" fontId="46" fillId="89" borderId="93" applyNumberFormat="0" applyProtection="0">
      <alignment wrapText="1"/>
    </xf>
    <xf numFmtId="0" fontId="46" fillId="89" borderId="93" applyNumberFormat="0" applyProtection="0">
      <alignment wrapText="1"/>
    </xf>
    <xf numFmtId="0" fontId="46" fillId="89" borderId="93" applyNumberFormat="0" applyProtection="0">
      <alignment wrapText="1"/>
    </xf>
    <xf numFmtId="0" fontId="46" fillId="89" borderId="93" applyNumberFormat="0" applyProtection="0">
      <alignment wrapText="1"/>
    </xf>
    <xf numFmtId="0" fontId="46" fillId="89" borderId="93" applyNumberFormat="0" applyProtection="0">
      <alignment wrapText="1"/>
    </xf>
    <xf numFmtId="0" fontId="46" fillId="89" borderId="93" applyNumberFormat="0" applyProtection="0">
      <alignment wrapText="1"/>
    </xf>
    <xf numFmtId="0" fontId="46" fillId="89" borderId="93" applyNumberFormat="0" applyProtection="0">
      <alignment wrapText="1"/>
    </xf>
    <xf numFmtId="0" fontId="1" fillId="86" borderId="93" applyNumberFormat="0" applyFont="0" applyAlignment="0" applyProtection="0"/>
    <xf numFmtId="0" fontId="1" fillId="86" borderId="93" applyNumberFormat="0" applyFont="0" applyAlignment="0" applyProtection="0"/>
    <xf numFmtId="0" fontId="46" fillId="89" borderId="93" applyNumberFormat="0" applyProtection="0">
      <alignment wrapText="1"/>
    </xf>
    <xf numFmtId="0" fontId="46" fillId="89" borderId="93" applyNumberFormat="0" applyProtection="0">
      <alignment wrapText="1"/>
    </xf>
    <xf numFmtId="0" fontId="1" fillId="86" borderId="93" applyNumberFormat="0" applyFont="0" applyAlignment="0" applyProtection="0"/>
    <xf numFmtId="0" fontId="1" fillId="86" borderId="93" applyNumberFormat="0" applyFont="0" applyAlignment="0" applyProtection="0"/>
    <xf numFmtId="0" fontId="1" fillId="86" borderId="93" applyNumberFormat="0" applyFont="0" applyAlignment="0" applyProtection="0"/>
    <xf numFmtId="0" fontId="1" fillId="86" borderId="93" applyNumberFormat="0" applyFont="0" applyAlignment="0" applyProtection="0"/>
    <xf numFmtId="0" fontId="1" fillId="86" borderId="93" applyNumberFormat="0" applyFont="0" applyAlignment="0" applyProtection="0"/>
    <xf numFmtId="0" fontId="1" fillId="86" borderId="93" applyNumberFormat="0" applyFont="0" applyAlignment="0" applyProtection="0"/>
    <xf numFmtId="0" fontId="1" fillId="86" borderId="93" applyNumberFormat="0" applyFont="0" applyAlignment="0" applyProtection="0"/>
    <xf numFmtId="0" fontId="1" fillId="86" borderId="93" applyNumberFormat="0" applyFont="0" applyAlignment="0" applyProtection="0"/>
    <xf numFmtId="0" fontId="1" fillId="86" borderId="93" applyNumberFormat="0" applyFont="0" applyAlignment="0" applyProtection="0"/>
    <xf numFmtId="0" fontId="1" fillId="86" borderId="93" applyNumberFormat="0" applyFont="0" applyAlignment="0" applyProtection="0"/>
    <xf numFmtId="0" fontId="1" fillId="86" borderId="93" applyNumberFormat="0" applyFont="0" applyAlignment="0" applyProtection="0"/>
    <xf numFmtId="0" fontId="1" fillId="86" borderId="93" applyNumberFormat="0" applyFont="0" applyAlignment="0" applyProtection="0"/>
    <xf numFmtId="0" fontId="46" fillId="89" borderId="93" applyNumberFormat="0" applyProtection="0">
      <alignment wrapText="1"/>
    </xf>
    <xf numFmtId="0" fontId="46" fillId="89" borderId="93" applyNumberFormat="0" applyProtection="0">
      <alignment wrapText="1"/>
    </xf>
    <xf numFmtId="0" fontId="46" fillId="89" borderId="93" applyNumberFormat="0" applyProtection="0">
      <alignment wrapText="1"/>
    </xf>
    <xf numFmtId="0" fontId="1" fillId="86" borderId="93" applyNumberFormat="0" applyFont="0" applyAlignment="0" applyProtection="0"/>
    <xf numFmtId="0" fontId="1" fillId="86" borderId="93" applyNumberFormat="0" applyFont="0" applyAlignment="0" applyProtection="0"/>
    <xf numFmtId="0" fontId="1" fillId="86" borderId="93" applyNumberFormat="0" applyFont="0" applyAlignment="0" applyProtection="0"/>
    <xf numFmtId="0" fontId="1" fillId="86" borderId="93" applyNumberFormat="0" applyFont="0" applyAlignment="0" applyProtection="0"/>
    <xf numFmtId="0" fontId="1" fillId="86" borderId="93" applyNumberFormat="0" applyFont="0" applyAlignment="0" applyProtection="0"/>
    <xf numFmtId="0" fontId="1" fillId="86" borderId="93" applyNumberFormat="0" applyFont="0" applyAlignment="0" applyProtection="0"/>
    <xf numFmtId="0" fontId="1" fillId="86" borderId="93" applyNumberFormat="0" applyFont="0" applyAlignment="0" applyProtection="0"/>
    <xf numFmtId="0" fontId="1" fillId="86" borderId="93" applyNumberFormat="0" applyFont="0" applyAlignment="0" applyProtection="0"/>
    <xf numFmtId="0" fontId="1" fillId="86" borderId="93" applyNumberFormat="0" applyFont="0" applyAlignment="0" applyProtection="0"/>
    <xf numFmtId="0" fontId="1" fillId="86" borderId="93" applyNumberFormat="0" applyFont="0" applyAlignment="0" applyProtection="0"/>
    <xf numFmtId="0" fontId="46" fillId="89" borderId="93" applyNumberFormat="0" applyProtection="0">
      <alignment wrapText="1"/>
    </xf>
    <xf numFmtId="0" fontId="46" fillId="89" borderId="93" applyNumberFormat="0" applyProtection="0">
      <alignment wrapText="1"/>
    </xf>
    <xf numFmtId="0" fontId="46" fillId="89" borderId="93" applyNumberFormat="0" applyProtection="0">
      <alignment wrapText="1"/>
    </xf>
    <xf numFmtId="0" fontId="1" fillId="86" borderId="93" applyNumberFormat="0" applyFont="0" applyAlignment="0" applyProtection="0"/>
    <xf numFmtId="0" fontId="1" fillId="86" borderId="93" applyNumberFormat="0" applyFont="0" applyAlignment="0" applyProtection="0"/>
    <xf numFmtId="0" fontId="1" fillId="86" borderId="93" applyNumberFormat="0" applyFont="0" applyAlignment="0" applyProtection="0"/>
    <xf numFmtId="0" fontId="1" fillId="86" borderId="93" applyNumberFormat="0" applyFont="0" applyAlignment="0" applyProtection="0"/>
    <xf numFmtId="0" fontId="1" fillId="86" borderId="93" applyNumberFormat="0" applyFont="0" applyAlignment="0" applyProtection="0"/>
    <xf numFmtId="0" fontId="1" fillId="86" borderId="93" applyNumberFormat="0" applyFont="0" applyAlignment="0" applyProtection="0"/>
    <xf numFmtId="0" fontId="1" fillId="86" borderId="93" applyNumberFormat="0" applyFont="0" applyAlignment="0" applyProtection="0"/>
    <xf numFmtId="0" fontId="1" fillId="86" borderId="93" applyNumberFormat="0" applyFont="0" applyAlignment="0" applyProtection="0"/>
    <xf numFmtId="0" fontId="1" fillId="86" borderId="93" applyNumberFormat="0" applyFont="0" applyAlignment="0" applyProtection="0"/>
    <xf numFmtId="0" fontId="1" fillId="86" borderId="93" applyNumberFormat="0" applyFont="0" applyAlignment="0" applyProtection="0"/>
    <xf numFmtId="0" fontId="46" fillId="89" borderId="93" applyNumberFormat="0" applyProtection="0">
      <alignment wrapText="1"/>
    </xf>
    <xf numFmtId="0" fontId="46" fillId="89" borderId="93" applyNumberFormat="0" applyProtection="0">
      <alignment wrapText="1"/>
    </xf>
    <xf numFmtId="0" fontId="46" fillId="89" borderId="93" applyNumberFormat="0" applyProtection="0">
      <alignment wrapText="1"/>
    </xf>
    <xf numFmtId="0" fontId="1" fillId="86" borderId="93" applyNumberFormat="0" applyFont="0" applyAlignment="0" applyProtection="0"/>
    <xf numFmtId="0" fontId="1" fillId="86" borderId="93" applyNumberFormat="0" applyFont="0" applyAlignment="0" applyProtection="0"/>
    <xf numFmtId="0" fontId="1" fillId="86" borderId="93" applyNumberFormat="0" applyFont="0" applyAlignment="0" applyProtection="0"/>
    <xf numFmtId="0" fontId="1" fillId="86" borderId="93" applyNumberFormat="0" applyFont="0" applyAlignment="0" applyProtection="0"/>
    <xf numFmtId="0" fontId="1" fillId="86" borderId="93" applyNumberFormat="0" applyFont="0" applyAlignment="0" applyProtection="0"/>
    <xf numFmtId="0" fontId="1" fillId="86" borderId="93" applyNumberFormat="0" applyFont="0" applyAlignment="0" applyProtection="0"/>
    <xf numFmtId="0" fontId="1" fillId="86" borderId="93" applyNumberFormat="0" applyFont="0" applyAlignment="0" applyProtection="0"/>
    <xf numFmtId="0" fontId="1" fillId="86" borderId="93" applyNumberFormat="0" applyFont="0" applyAlignment="0" applyProtection="0"/>
    <xf numFmtId="0" fontId="1" fillId="86" borderId="93" applyNumberFormat="0" applyFont="0" applyAlignment="0" applyProtection="0"/>
    <xf numFmtId="0" fontId="1" fillId="86" borderId="93" applyNumberFormat="0" applyFont="0" applyAlignment="0" applyProtection="0"/>
    <xf numFmtId="0" fontId="46" fillId="89" borderId="93" applyNumberFormat="0" applyProtection="0">
      <alignment wrapText="1"/>
    </xf>
    <xf numFmtId="0" fontId="46" fillId="89" borderId="93" applyNumberFormat="0" applyProtection="0">
      <alignment wrapText="1"/>
    </xf>
    <xf numFmtId="0" fontId="46" fillId="89" borderId="93" applyNumberFormat="0" applyProtection="0">
      <alignment wrapText="1"/>
    </xf>
    <xf numFmtId="0" fontId="1" fillId="86" borderId="93" applyNumberFormat="0" applyFont="0" applyAlignment="0" applyProtection="0"/>
    <xf numFmtId="0" fontId="1" fillId="86" borderId="93" applyNumberFormat="0" applyFont="0" applyAlignment="0" applyProtection="0"/>
    <xf numFmtId="0" fontId="1" fillId="86" borderId="93" applyNumberFormat="0" applyFont="0" applyAlignment="0" applyProtection="0"/>
    <xf numFmtId="0" fontId="1" fillId="86" borderId="93" applyNumberFormat="0" applyFont="0" applyAlignment="0" applyProtection="0"/>
    <xf numFmtId="0" fontId="1" fillId="86" borderId="93" applyNumberFormat="0" applyFont="0" applyAlignment="0" applyProtection="0"/>
    <xf numFmtId="0" fontId="1" fillId="86" borderId="93" applyNumberFormat="0" applyFont="0" applyAlignment="0" applyProtection="0"/>
    <xf numFmtId="0" fontId="1" fillId="86" borderId="93" applyNumberFormat="0" applyFont="0" applyAlignment="0" applyProtection="0"/>
    <xf numFmtId="0" fontId="1" fillId="86" borderId="93" applyNumberFormat="0" applyFont="0" applyAlignment="0" applyProtection="0"/>
    <xf numFmtId="0" fontId="1" fillId="86" borderId="93" applyNumberFormat="0" applyFont="0" applyAlignment="0" applyProtection="0"/>
    <xf numFmtId="0" fontId="1" fillId="86" borderId="93" applyNumberFormat="0" applyFont="0" applyAlignment="0" applyProtection="0"/>
    <xf numFmtId="0" fontId="46" fillId="89" borderId="93" applyNumberFormat="0" applyProtection="0">
      <alignment wrapText="1"/>
    </xf>
    <xf numFmtId="0" fontId="46" fillId="89" borderId="93" applyNumberFormat="0" applyProtection="0">
      <alignment wrapText="1"/>
    </xf>
    <xf numFmtId="0" fontId="46" fillId="89" borderId="93" applyNumberFormat="0" applyProtection="0">
      <alignment wrapText="1"/>
    </xf>
    <xf numFmtId="0" fontId="1" fillId="86" borderId="93" applyNumberFormat="0" applyFont="0" applyAlignment="0" applyProtection="0"/>
    <xf numFmtId="0" fontId="1" fillId="86" borderId="93" applyNumberFormat="0" applyFont="0" applyAlignment="0" applyProtection="0"/>
    <xf numFmtId="0" fontId="1" fillId="86" borderId="93" applyNumberFormat="0" applyFont="0" applyAlignment="0" applyProtection="0"/>
    <xf numFmtId="0" fontId="46" fillId="89" borderId="93" applyNumberFormat="0" applyProtection="0">
      <alignment wrapText="1"/>
    </xf>
    <xf numFmtId="0" fontId="46" fillId="89" borderId="93" applyNumberFormat="0" applyProtection="0">
      <alignment wrapText="1"/>
    </xf>
    <xf numFmtId="0" fontId="46" fillId="89" borderId="93" applyNumberFormat="0" applyProtection="0">
      <alignment wrapText="1"/>
    </xf>
    <xf numFmtId="0" fontId="46" fillId="89" borderId="93" applyNumberFormat="0" applyProtection="0">
      <alignment wrapText="1"/>
    </xf>
    <xf numFmtId="0" fontId="46" fillId="89" borderId="93" applyNumberFormat="0" applyProtection="0">
      <alignment wrapText="1"/>
    </xf>
    <xf numFmtId="0" fontId="46" fillId="89" borderId="93" applyNumberFormat="0" applyProtection="0">
      <alignment wrapText="1"/>
    </xf>
    <xf numFmtId="0" fontId="106" fillId="83" borderId="45" applyNumberFormat="0" applyProtection="0">
      <alignment wrapText="1"/>
    </xf>
    <xf numFmtId="0" fontId="106" fillId="83" borderId="45" applyNumberFormat="0" applyProtection="0">
      <alignment wrapText="1"/>
    </xf>
    <xf numFmtId="0" fontId="106" fillId="83" borderId="45" applyNumberFormat="0" applyProtection="0">
      <alignment wrapText="1"/>
    </xf>
    <xf numFmtId="0" fontId="106" fillId="83" borderId="45" applyNumberFormat="0" applyProtection="0">
      <alignment wrapText="1"/>
    </xf>
    <xf numFmtId="0" fontId="106" fillId="83" borderId="45" applyNumberFormat="0" applyProtection="0">
      <alignment wrapText="1"/>
    </xf>
    <xf numFmtId="0" fontId="106" fillId="83" borderId="45" applyNumberFormat="0" applyProtection="0">
      <alignment wrapText="1"/>
    </xf>
    <xf numFmtId="0" fontId="106" fillId="83" borderId="45" applyNumberFormat="0" applyProtection="0">
      <alignment wrapText="1"/>
    </xf>
    <xf numFmtId="0" fontId="106" fillId="83" borderId="45" applyNumberFormat="0" applyProtection="0">
      <alignment wrapText="1"/>
    </xf>
    <xf numFmtId="0" fontId="106" fillId="83" borderId="45" applyNumberFormat="0" applyProtection="0">
      <alignment wrapText="1"/>
    </xf>
    <xf numFmtId="0" fontId="106" fillId="83" borderId="45" applyNumberFormat="0" applyProtection="0">
      <alignment wrapText="1"/>
    </xf>
    <xf numFmtId="0" fontId="106" fillId="83" borderId="45" applyNumberFormat="0" applyProtection="0">
      <alignment wrapText="1"/>
    </xf>
    <xf numFmtId="0" fontId="106" fillId="83" borderId="45" applyNumberFormat="0" applyProtection="0">
      <alignment wrapText="1"/>
    </xf>
    <xf numFmtId="0" fontId="106" fillId="83" borderId="45" applyNumberFormat="0" applyProtection="0">
      <alignment wrapText="1"/>
    </xf>
    <xf numFmtId="0" fontId="106" fillId="83" borderId="45" applyNumberFormat="0" applyProtection="0">
      <alignment wrapText="1"/>
    </xf>
    <xf numFmtId="0" fontId="106" fillId="83" borderId="45" applyNumberFormat="0" applyProtection="0">
      <alignment wrapText="1"/>
    </xf>
    <xf numFmtId="0" fontId="106" fillId="83" borderId="45" applyNumberFormat="0" applyProtection="0">
      <alignment wrapText="1"/>
    </xf>
    <xf numFmtId="0" fontId="106" fillId="83" borderId="45" applyNumberFormat="0" applyProtection="0">
      <alignment wrapText="1"/>
    </xf>
    <xf numFmtId="0" fontId="106" fillId="83" borderId="45" applyNumberFormat="0" applyProtection="0">
      <alignment wrapText="1"/>
    </xf>
    <xf numFmtId="0" fontId="106" fillId="83" borderId="45" applyNumberFormat="0" applyProtection="0">
      <alignment wrapText="1"/>
    </xf>
    <xf numFmtId="0" fontId="106" fillId="83" borderId="45" applyNumberFormat="0" applyProtection="0">
      <alignment wrapText="1"/>
    </xf>
    <xf numFmtId="0" fontId="106" fillId="83" borderId="45" applyNumberFormat="0" applyProtection="0">
      <alignment wrapText="1"/>
    </xf>
    <xf numFmtId="0" fontId="106" fillId="83" borderId="45" applyNumberFormat="0" applyProtection="0">
      <alignment wrapText="1"/>
    </xf>
    <xf numFmtId="0" fontId="106" fillId="83" borderId="45" applyNumberFormat="0" applyProtection="0">
      <alignment wrapText="1"/>
    </xf>
    <xf numFmtId="0" fontId="106" fillId="83" borderId="45" applyNumberFormat="0" applyProtection="0">
      <alignment wrapText="1"/>
    </xf>
    <xf numFmtId="0" fontId="106" fillId="83" borderId="45" applyNumberFormat="0" applyProtection="0">
      <alignment wrapText="1"/>
    </xf>
    <xf numFmtId="0" fontId="106" fillId="83" borderId="45" applyNumberFormat="0" applyProtection="0">
      <alignment wrapText="1"/>
    </xf>
    <xf numFmtId="0" fontId="106" fillId="83" borderId="45" applyNumberFormat="0" applyProtection="0">
      <alignment wrapText="1"/>
    </xf>
    <xf numFmtId="0" fontId="106" fillId="82" borderId="45" applyNumberFormat="0" applyAlignment="0" applyProtection="0"/>
    <xf numFmtId="0" fontId="106" fillId="82" borderId="45" applyNumberFormat="0" applyAlignment="0" applyProtection="0"/>
    <xf numFmtId="0" fontId="106" fillId="83" borderId="45" applyNumberFormat="0" applyProtection="0">
      <alignment wrapText="1"/>
    </xf>
    <xf numFmtId="0" fontId="106" fillId="83" borderId="45" applyNumberFormat="0" applyProtection="0">
      <alignment wrapText="1"/>
    </xf>
    <xf numFmtId="0" fontId="106" fillId="82" borderId="45" applyNumberFormat="0" applyAlignment="0" applyProtection="0"/>
    <xf numFmtId="0" fontId="106" fillId="82" borderId="45" applyNumberFormat="0" applyAlignment="0" applyProtection="0"/>
    <xf numFmtId="0" fontId="106" fillId="82" borderId="45" applyNumberFormat="0" applyAlignment="0" applyProtection="0"/>
    <xf numFmtId="0" fontId="106" fillId="82" borderId="45" applyNumberFormat="0" applyAlignment="0" applyProtection="0"/>
    <xf numFmtId="0" fontId="106" fillId="82" borderId="45" applyNumberFormat="0" applyAlignment="0" applyProtection="0"/>
    <xf numFmtId="0" fontId="106" fillId="82" borderId="45" applyNumberFormat="0" applyAlignment="0" applyProtection="0"/>
    <xf numFmtId="0" fontId="106" fillId="82" borderId="45" applyNumberFormat="0" applyAlignment="0" applyProtection="0"/>
    <xf numFmtId="0" fontId="106" fillId="82" borderId="45" applyNumberFormat="0" applyAlignment="0" applyProtection="0"/>
    <xf numFmtId="0" fontId="106" fillId="82" borderId="45" applyNumberFormat="0" applyAlignment="0" applyProtection="0"/>
    <xf numFmtId="0" fontId="106" fillId="82" borderId="45" applyNumberFormat="0" applyAlignment="0" applyProtection="0"/>
    <xf numFmtId="0" fontId="106" fillId="82" borderId="45" applyNumberFormat="0" applyAlignment="0" applyProtection="0"/>
    <xf numFmtId="0" fontId="106" fillId="83" borderId="45" applyNumberFormat="0" applyProtection="0">
      <alignment wrapText="1"/>
    </xf>
    <xf numFmtId="0" fontId="106" fillId="83" borderId="45" applyNumberFormat="0" applyProtection="0">
      <alignment wrapText="1"/>
    </xf>
    <xf numFmtId="0" fontId="106" fillId="83" borderId="45" applyNumberFormat="0" applyProtection="0">
      <alignment wrapText="1"/>
    </xf>
    <xf numFmtId="0" fontId="106" fillId="82" borderId="45" applyNumberFormat="0" applyAlignment="0" applyProtection="0"/>
    <xf numFmtId="0" fontId="106" fillId="82" borderId="45" applyNumberFormat="0" applyAlignment="0" applyProtection="0"/>
    <xf numFmtId="0" fontId="106" fillId="82" borderId="45" applyNumberFormat="0" applyAlignment="0" applyProtection="0"/>
    <xf numFmtId="0" fontId="106" fillId="82" borderId="45" applyNumberFormat="0" applyAlignment="0" applyProtection="0"/>
    <xf numFmtId="0" fontId="106" fillId="82" borderId="45" applyNumberFormat="0" applyAlignment="0" applyProtection="0"/>
    <xf numFmtId="0" fontId="106" fillId="82" borderId="45" applyNumberFormat="0" applyAlignment="0" applyProtection="0"/>
    <xf numFmtId="0" fontId="106" fillId="82" borderId="45" applyNumberFormat="0" applyAlignment="0" applyProtection="0"/>
    <xf numFmtId="0" fontId="106" fillId="82" borderId="45" applyNumberFormat="0" applyAlignment="0" applyProtection="0"/>
    <xf numFmtId="0" fontId="106" fillId="82" borderId="45" applyNumberFormat="0" applyAlignment="0" applyProtection="0"/>
    <xf numFmtId="0" fontId="106" fillId="82" borderId="45" applyNumberFormat="0" applyAlignment="0" applyProtection="0"/>
    <xf numFmtId="0" fontId="106" fillId="83" borderId="45" applyNumberFormat="0" applyProtection="0">
      <alignment wrapText="1"/>
    </xf>
    <xf numFmtId="0" fontId="106" fillId="83" borderId="45" applyNumberFormat="0" applyProtection="0">
      <alignment wrapText="1"/>
    </xf>
    <xf numFmtId="0" fontId="106" fillId="83" borderId="45" applyNumberFormat="0" applyProtection="0">
      <alignment wrapText="1"/>
    </xf>
    <xf numFmtId="0" fontId="106" fillId="82" borderId="45" applyNumberFormat="0" applyAlignment="0" applyProtection="0"/>
    <xf numFmtId="0" fontId="106" fillId="82" borderId="45" applyNumberFormat="0" applyAlignment="0" applyProtection="0"/>
    <xf numFmtId="0" fontId="106" fillId="82" borderId="45" applyNumberFormat="0" applyAlignment="0" applyProtection="0"/>
    <xf numFmtId="0" fontId="106" fillId="82" borderId="45" applyNumberFormat="0" applyAlignment="0" applyProtection="0"/>
    <xf numFmtId="0" fontId="106" fillId="82" borderId="45" applyNumberFormat="0" applyAlignment="0" applyProtection="0"/>
    <xf numFmtId="0" fontId="106" fillId="82" borderId="45" applyNumberFormat="0" applyAlignment="0" applyProtection="0"/>
    <xf numFmtId="0" fontId="106" fillId="82" borderId="45" applyNumberFormat="0" applyAlignment="0" applyProtection="0"/>
    <xf numFmtId="0" fontId="106" fillId="82" borderId="45" applyNumberFormat="0" applyAlignment="0" applyProtection="0"/>
    <xf numFmtId="0" fontId="106" fillId="82" borderId="45" applyNumberFormat="0" applyAlignment="0" applyProtection="0"/>
    <xf numFmtId="0" fontId="106" fillId="82" borderId="45" applyNumberFormat="0" applyAlignment="0" applyProtection="0"/>
    <xf numFmtId="0" fontId="106" fillId="83" borderId="45" applyNumberFormat="0" applyProtection="0">
      <alignment wrapText="1"/>
    </xf>
    <xf numFmtId="0" fontId="106" fillId="83" borderId="45" applyNumberFormat="0" applyProtection="0">
      <alignment wrapText="1"/>
    </xf>
    <xf numFmtId="0" fontId="106" fillId="83" borderId="45" applyNumberFormat="0" applyProtection="0">
      <alignment wrapText="1"/>
    </xf>
    <xf numFmtId="0" fontId="106" fillId="82" borderId="45" applyNumberFormat="0" applyAlignment="0" applyProtection="0"/>
    <xf numFmtId="0" fontId="106" fillId="82" borderId="45" applyNumberFormat="0" applyAlignment="0" applyProtection="0"/>
    <xf numFmtId="0" fontId="106" fillId="82" borderId="45" applyNumberFormat="0" applyAlignment="0" applyProtection="0"/>
    <xf numFmtId="0" fontId="106" fillId="82" borderId="45" applyNumberFormat="0" applyAlignment="0" applyProtection="0"/>
    <xf numFmtId="0" fontId="106" fillId="82" borderId="45" applyNumberFormat="0" applyAlignment="0" applyProtection="0"/>
    <xf numFmtId="0" fontId="106" fillId="82" borderId="45" applyNumberFormat="0" applyAlignment="0" applyProtection="0"/>
    <xf numFmtId="0" fontId="106" fillId="82" borderId="45" applyNumberFormat="0" applyAlignment="0" applyProtection="0"/>
    <xf numFmtId="0" fontId="106" fillId="82" borderId="45" applyNumberFormat="0" applyAlignment="0" applyProtection="0"/>
    <xf numFmtId="0" fontId="106" fillId="82" borderId="45" applyNumberFormat="0" applyAlignment="0" applyProtection="0"/>
    <xf numFmtId="0" fontId="106" fillId="82" borderId="45" applyNumberFormat="0" applyAlignment="0" applyProtection="0"/>
    <xf numFmtId="0" fontId="106" fillId="83" borderId="45" applyNumberFormat="0" applyProtection="0">
      <alignment wrapText="1"/>
    </xf>
    <xf numFmtId="0" fontId="106" fillId="83" borderId="45" applyNumberFormat="0" applyProtection="0">
      <alignment wrapText="1"/>
    </xf>
    <xf numFmtId="0" fontId="106" fillId="83" borderId="45" applyNumberFormat="0" applyProtection="0">
      <alignment wrapText="1"/>
    </xf>
    <xf numFmtId="0" fontId="106" fillId="82" borderId="45" applyNumberFormat="0" applyAlignment="0" applyProtection="0"/>
    <xf numFmtId="0" fontId="106" fillId="82" borderId="45" applyNumberFormat="0" applyAlignment="0" applyProtection="0"/>
    <xf numFmtId="0" fontId="106" fillId="82" borderId="45" applyNumberFormat="0" applyAlignment="0" applyProtection="0"/>
    <xf numFmtId="0" fontId="106" fillId="82" borderId="45" applyNumberFormat="0" applyAlignment="0" applyProtection="0"/>
    <xf numFmtId="0" fontId="106" fillId="82" borderId="45" applyNumberFormat="0" applyAlignment="0" applyProtection="0"/>
    <xf numFmtId="0" fontId="106" fillId="82" borderId="45" applyNumberFormat="0" applyAlignment="0" applyProtection="0"/>
    <xf numFmtId="0" fontId="106" fillId="82" borderId="45" applyNumberFormat="0" applyAlignment="0" applyProtection="0"/>
    <xf numFmtId="0" fontId="106" fillId="82" borderId="45" applyNumberFormat="0" applyAlignment="0" applyProtection="0"/>
    <xf numFmtId="0" fontId="106" fillId="82" borderId="45" applyNumberFormat="0" applyAlignment="0" applyProtection="0"/>
    <xf numFmtId="0" fontId="106" fillId="82" borderId="45" applyNumberFormat="0" applyAlignment="0" applyProtection="0"/>
    <xf numFmtId="0" fontId="106" fillId="83" borderId="45" applyNumberFormat="0" applyProtection="0">
      <alignment wrapText="1"/>
    </xf>
    <xf numFmtId="0" fontId="106" fillId="83" borderId="45" applyNumberFormat="0" applyProtection="0">
      <alignment wrapText="1"/>
    </xf>
    <xf numFmtId="0" fontId="106" fillId="83" borderId="45" applyNumberFormat="0" applyProtection="0">
      <alignment wrapText="1"/>
    </xf>
    <xf numFmtId="0" fontId="106" fillId="82" borderId="45" applyNumberFormat="0" applyAlignment="0" applyProtection="0"/>
    <xf numFmtId="0" fontId="106" fillId="82" borderId="45" applyNumberFormat="0" applyAlignment="0" applyProtection="0"/>
    <xf numFmtId="0" fontId="106" fillId="83" borderId="45" applyNumberFormat="0" applyProtection="0">
      <alignment wrapText="1"/>
    </xf>
    <xf numFmtId="0" fontId="106" fillId="83" borderId="45" applyNumberFormat="0" applyProtection="0">
      <alignment wrapText="1"/>
    </xf>
    <xf numFmtId="0" fontId="106" fillId="83" borderId="45" applyNumberFormat="0" applyProtection="0">
      <alignment wrapText="1"/>
    </xf>
    <xf numFmtId="0" fontId="106" fillId="83" borderId="45" applyNumberFormat="0" applyProtection="0">
      <alignment wrapText="1"/>
    </xf>
    <xf numFmtId="0" fontId="106" fillId="83" borderId="45" applyNumberFormat="0" applyProtection="0">
      <alignment wrapText="1"/>
    </xf>
    <xf numFmtId="0" fontId="106" fillId="83" borderId="45" applyNumberFormat="0" applyProtection="0">
      <alignment wrapText="1"/>
    </xf>
    <xf numFmtId="0" fontId="98" fillId="0" borderId="88" applyNumberFormat="0" applyFill="0" applyAlignment="0" applyProtection="0"/>
    <xf numFmtId="0" fontId="99" fillId="0" borderId="89" applyNumberFormat="0" applyFill="0" applyAlignment="0" applyProtection="0"/>
    <xf numFmtId="0" fontId="100" fillId="0" borderId="90" applyNumberFormat="0" applyFill="0" applyAlignment="0" applyProtection="0"/>
    <xf numFmtId="0" fontId="100" fillId="0" borderId="0" applyNumberFormat="0" applyFill="0" applyBorder="0" applyAlignment="0" applyProtection="0"/>
    <xf numFmtId="0" fontId="107" fillId="0" borderId="0" applyNumberFormat="0" applyFill="0" applyBorder="0" applyAlignment="0" applyProtection="0"/>
    <xf numFmtId="0" fontId="92" fillId="75" borderId="0" applyNumberFormat="0" applyBorder="0" applyAlignment="0" applyProtection="0"/>
    <xf numFmtId="0" fontId="92" fillId="77" borderId="0" applyNumberFormat="0" applyBorder="0" applyAlignment="0" applyProtection="0"/>
    <xf numFmtId="0" fontId="92" fillId="79" borderId="0" applyNumberFormat="0" applyBorder="0" applyAlignment="0" applyProtection="0"/>
    <xf numFmtId="0" fontId="92" fillId="69" borderId="0" applyNumberFormat="0" applyBorder="0" applyAlignment="0" applyProtection="0"/>
    <xf numFmtId="0" fontId="92" fillId="71" borderId="0" applyNumberFormat="0" applyBorder="0" applyAlignment="0" applyProtection="0"/>
    <xf numFmtId="0" fontId="92" fillId="81" borderId="0" applyNumberFormat="0" applyBorder="0" applyAlignment="0" applyProtection="0"/>
    <xf numFmtId="0" fontId="96" fillId="0" borderId="0" applyNumberFormat="0" applyFill="0" applyBorder="0" applyAlignment="0" applyProtection="0"/>
    <xf numFmtId="0" fontId="102" fillId="57" borderId="86" applyNumberFormat="0" applyAlignment="0" applyProtection="0"/>
    <xf numFmtId="0" fontId="107" fillId="0" borderId="0" applyNumberFormat="0" applyFill="0" applyBorder="0" applyProtection="0">
      <alignment wrapText="1"/>
    </xf>
    <xf numFmtId="0" fontId="107" fillId="0" borderId="0" applyNumberFormat="0" applyFill="0" applyBorder="0" applyProtection="0">
      <alignment wrapText="1"/>
    </xf>
    <xf numFmtId="0" fontId="107" fillId="0" borderId="0" applyNumberFormat="0" applyFill="0" applyBorder="0" applyProtection="0">
      <alignment wrapText="1"/>
    </xf>
    <xf numFmtId="0" fontId="107" fillId="0" borderId="0" applyNumberFormat="0" applyFill="0" applyBorder="0" applyProtection="0">
      <alignment wrapText="1"/>
    </xf>
    <xf numFmtId="0" fontId="107" fillId="0" borderId="0" applyNumberFormat="0" applyFill="0" applyBorder="0" applyProtection="0">
      <alignment wrapText="1"/>
    </xf>
    <xf numFmtId="0" fontId="107" fillId="0" borderId="0" applyNumberFormat="0" applyFill="0" applyBorder="0" applyProtection="0">
      <alignment wrapText="1"/>
    </xf>
    <xf numFmtId="0" fontId="107" fillId="0" borderId="0" applyNumberFormat="0" applyFill="0" applyBorder="0" applyProtection="0">
      <alignment wrapText="1"/>
    </xf>
    <xf numFmtId="0" fontId="107" fillId="0" borderId="0" applyNumberFormat="0" applyFill="0" applyBorder="0" applyProtection="0">
      <alignment wrapText="1"/>
    </xf>
    <xf numFmtId="0" fontId="107" fillId="0" borderId="0" applyNumberFormat="0" applyFill="0" applyBorder="0" applyProtection="0">
      <alignment wrapText="1"/>
    </xf>
    <xf numFmtId="0" fontId="107" fillId="0" borderId="0" applyNumberFormat="0" applyFill="0" applyBorder="0" applyProtection="0">
      <alignment wrapText="1"/>
    </xf>
    <xf numFmtId="0" fontId="107" fillId="0" borderId="0" applyNumberFormat="0" applyFill="0" applyBorder="0" applyProtection="0">
      <alignment wrapText="1"/>
    </xf>
    <xf numFmtId="0" fontId="107" fillId="0" borderId="0" applyNumberFormat="0" applyFill="0" applyBorder="0" applyProtection="0">
      <alignment wrapText="1"/>
    </xf>
    <xf numFmtId="0" fontId="107" fillId="0" borderId="0" applyNumberFormat="0" applyFill="0" applyBorder="0" applyProtection="0">
      <alignment wrapText="1"/>
    </xf>
    <xf numFmtId="0" fontId="107" fillId="0" borderId="0" applyNumberFormat="0" applyFill="0" applyBorder="0" applyProtection="0">
      <alignment wrapText="1"/>
    </xf>
    <xf numFmtId="0" fontId="107" fillId="0" borderId="0" applyNumberFormat="0" applyFill="0" applyBorder="0" applyProtection="0">
      <alignment wrapText="1"/>
    </xf>
    <xf numFmtId="0" fontId="107" fillId="0" borderId="0" applyNumberFormat="0" applyFill="0" applyBorder="0" applyProtection="0">
      <alignment wrapText="1"/>
    </xf>
    <xf numFmtId="0" fontId="107" fillId="0" borderId="0" applyNumberFormat="0" applyFill="0" applyBorder="0" applyProtection="0">
      <alignment wrapText="1"/>
    </xf>
    <xf numFmtId="0" fontId="107" fillId="0" borderId="0" applyNumberFormat="0" applyFill="0" applyBorder="0" applyProtection="0">
      <alignment wrapText="1"/>
    </xf>
    <xf numFmtId="0" fontId="107" fillId="0" borderId="0" applyNumberFormat="0" applyFill="0" applyBorder="0" applyAlignment="0" applyProtection="0"/>
    <xf numFmtId="0" fontId="107" fillId="0" borderId="0" applyNumberFormat="0" applyFill="0" applyBorder="0" applyProtection="0">
      <alignment wrapText="1"/>
    </xf>
    <xf numFmtId="0" fontId="107" fillId="0" borderId="0" applyNumberFormat="0" applyFill="0" applyBorder="0" applyProtection="0">
      <alignment wrapText="1"/>
    </xf>
    <xf numFmtId="0" fontId="107" fillId="0" borderId="0" applyNumberFormat="0" applyFill="0" applyBorder="0" applyProtection="0">
      <alignment wrapText="1"/>
    </xf>
    <xf numFmtId="0" fontId="107" fillId="0" borderId="0" applyNumberFormat="0" applyFill="0" applyBorder="0" applyProtection="0">
      <alignment wrapText="1"/>
    </xf>
    <xf numFmtId="0" fontId="107" fillId="0" borderId="0" applyNumberFormat="0" applyFill="0" applyBorder="0" applyProtection="0">
      <alignment wrapText="1"/>
    </xf>
    <xf numFmtId="0" fontId="107" fillId="0" borderId="0" applyNumberFormat="0" applyFill="0" applyBorder="0" applyProtection="0">
      <alignment wrapText="1"/>
    </xf>
    <xf numFmtId="0" fontId="107" fillId="0" borderId="0" applyNumberFormat="0" applyFill="0" applyBorder="0" applyProtection="0">
      <alignment wrapText="1"/>
    </xf>
    <xf numFmtId="0" fontId="107" fillId="0" borderId="0" applyNumberFormat="0" applyFill="0" applyBorder="0" applyProtection="0">
      <alignment wrapText="1"/>
    </xf>
    <xf numFmtId="0" fontId="107" fillId="0" borderId="0" applyNumberFormat="0" applyFill="0" applyBorder="0" applyProtection="0">
      <alignment wrapText="1"/>
    </xf>
    <xf numFmtId="0" fontId="107" fillId="0" borderId="0" applyNumberFormat="0" applyFill="0" applyBorder="0" applyProtection="0">
      <alignment wrapText="1"/>
    </xf>
    <xf numFmtId="0" fontId="107" fillId="0" borderId="0" applyNumberFormat="0" applyFill="0" applyBorder="0" applyProtection="0">
      <alignment wrapText="1"/>
    </xf>
    <xf numFmtId="0" fontId="107" fillId="0" borderId="0" applyNumberFormat="0" applyFill="0" applyBorder="0" applyProtection="0">
      <alignment wrapText="1"/>
    </xf>
    <xf numFmtId="0" fontId="107" fillId="0" borderId="0" applyNumberFormat="0" applyFill="0" applyBorder="0" applyProtection="0">
      <alignment wrapText="1"/>
    </xf>
    <xf numFmtId="0" fontId="107" fillId="0" borderId="0" applyNumberFormat="0" applyFill="0" applyBorder="0" applyProtection="0">
      <alignment wrapText="1"/>
    </xf>
    <xf numFmtId="0" fontId="107" fillId="0" borderId="0" applyNumberFormat="0" applyFill="0" applyBorder="0" applyProtection="0">
      <alignment wrapText="1"/>
    </xf>
    <xf numFmtId="0" fontId="107" fillId="0" borderId="0" applyNumberFormat="0" applyFill="0" applyBorder="0" applyProtection="0">
      <alignment wrapText="1"/>
    </xf>
    <xf numFmtId="0" fontId="103" fillId="0" borderId="91" applyNumberFormat="0" applyFill="0" applyProtection="0">
      <alignment wrapText="1"/>
    </xf>
    <xf numFmtId="0" fontId="103" fillId="0" borderId="91" applyNumberFormat="0" applyFill="0" applyProtection="0">
      <alignment wrapText="1"/>
    </xf>
    <xf numFmtId="0" fontId="103" fillId="0" borderId="91" applyNumberFormat="0" applyFill="0" applyProtection="0">
      <alignment wrapText="1"/>
    </xf>
    <xf numFmtId="0" fontId="103" fillId="0" borderId="91" applyNumberFormat="0" applyFill="0" applyProtection="0">
      <alignment wrapText="1"/>
    </xf>
    <xf numFmtId="0" fontId="103" fillId="0" borderId="91" applyNumberFormat="0" applyFill="0" applyProtection="0">
      <alignment wrapText="1"/>
    </xf>
    <xf numFmtId="0" fontId="103" fillId="0" borderId="91" applyNumberFormat="0" applyFill="0" applyProtection="0">
      <alignment wrapText="1"/>
    </xf>
    <xf numFmtId="0" fontId="103" fillId="0" borderId="91" applyNumberFormat="0" applyFill="0" applyProtection="0">
      <alignment wrapText="1"/>
    </xf>
    <xf numFmtId="0" fontId="103" fillId="0" borderId="91" applyNumberFormat="0" applyFill="0" applyProtection="0">
      <alignment wrapText="1"/>
    </xf>
    <xf numFmtId="0" fontId="103" fillId="0" borderId="91" applyNumberFormat="0" applyFill="0" applyProtection="0">
      <alignment wrapText="1"/>
    </xf>
    <xf numFmtId="0" fontId="103" fillId="0" borderId="91" applyNumberFormat="0" applyFill="0" applyProtection="0">
      <alignment wrapText="1"/>
    </xf>
    <xf numFmtId="0" fontId="103" fillId="0" borderId="91" applyNumberFormat="0" applyFill="0" applyProtection="0">
      <alignment wrapText="1"/>
    </xf>
    <xf numFmtId="0" fontId="103" fillId="0" borderId="91" applyNumberFormat="0" applyFill="0" applyProtection="0">
      <alignment wrapText="1"/>
    </xf>
    <xf numFmtId="0" fontId="103" fillId="0" borderId="91" applyNumberFormat="0" applyFill="0" applyProtection="0">
      <alignment wrapText="1"/>
    </xf>
    <xf numFmtId="0" fontId="103" fillId="0" borderId="91" applyNumberFormat="0" applyFill="0" applyProtection="0">
      <alignment wrapText="1"/>
    </xf>
    <xf numFmtId="0" fontId="103" fillId="0" borderId="91" applyNumberFormat="0" applyFill="0" applyProtection="0">
      <alignment wrapText="1"/>
    </xf>
    <xf numFmtId="0" fontId="103" fillId="0" borderId="91" applyNumberFormat="0" applyFill="0" applyProtection="0">
      <alignment wrapText="1"/>
    </xf>
    <xf numFmtId="0" fontId="103" fillId="0" borderId="91" applyNumberFormat="0" applyFill="0" applyProtection="0">
      <alignment wrapText="1"/>
    </xf>
    <xf numFmtId="0" fontId="103" fillId="0" borderId="91" applyNumberFormat="0" applyFill="0" applyProtection="0">
      <alignment wrapText="1"/>
    </xf>
    <xf numFmtId="0" fontId="103" fillId="0" borderId="91" applyNumberFormat="0" applyFill="0" applyProtection="0">
      <alignment wrapText="1"/>
    </xf>
    <xf numFmtId="0" fontId="103" fillId="0" borderId="91" applyNumberFormat="0" applyFill="0" applyProtection="0">
      <alignment wrapText="1"/>
    </xf>
    <xf numFmtId="0" fontId="103" fillId="0" borderId="91" applyNumberFormat="0" applyFill="0" applyProtection="0">
      <alignment wrapText="1"/>
    </xf>
    <xf numFmtId="0" fontId="103" fillId="0" borderId="91" applyNumberFormat="0" applyFill="0" applyProtection="0">
      <alignment wrapText="1"/>
    </xf>
    <xf numFmtId="0" fontId="103" fillId="0" borderId="91" applyNumberFormat="0" applyFill="0" applyProtection="0">
      <alignment wrapText="1"/>
    </xf>
    <xf numFmtId="0" fontId="103" fillId="0" borderId="91" applyNumberFormat="0" applyFill="0" applyProtection="0">
      <alignment wrapText="1"/>
    </xf>
    <xf numFmtId="0" fontId="103" fillId="0" borderId="91" applyNumberFormat="0" applyFill="0" applyProtection="0">
      <alignment wrapText="1"/>
    </xf>
    <xf numFmtId="0" fontId="103" fillId="0" borderId="91" applyNumberFormat="0" applyFill="0" applyProtection="0">
      <alignment wrapText="1"/>
    </xf>
    <xf numFmtId="0" fontId="103" fillId="0" borderId="91" applyNumberFormat="0" applyFill="0" applyProtection="0">
      <alignment wrapText="1"/>
    </xf>
    <xf numFmtId="0" fontId="103" fillId="0" borderId="91" applyNumberFormat="0" applyFill="0" applyAlignment="0" applyProtection="0"/>
    <xf numFmtId="0" fontId="103" fillId="0" borderId="91" applyNumberFormat="0" applyFill="0" applyAlignment="0" applyProtection="0"/>
    <xf numFmtId="0" fontId="103" fillId="0" borderId="91" applyNumberFormat="0" applyFill="0" applyProtection="0">
      <alignment wrapText="1"/>
    </xf>
    <xf numFmtId="0" fontId="103" fillId="0" borderId="91" applyNumberFormat="0" applyFill="0" applyProtection="0">
      <alignment wrapText="1"/>
    </xf>
    <xf numFmtId="0" fontId="103" fillId="0" borderId="91" applyNumberFormat="0" applyFill="0" applyAlignment="0" applyProtection="0"/>
    <xf numFmtId="0" fontId="103" fillId="0" borderId="91" applyNumberFormat="0" applyFill="0" applyAlignment="0" applyProtection="0"/>
    <xf numFmtId="0" fontId="103" fillId="0" borderId="91" applyNumberFormat="0" applyFill="0" applyAlignment="0" applyProtection="0"/>
    <xf numFmtId="0" fontId="103" fillId="0" borderId="91" applyNumberFormat="0" applyFill="0" applyAlignment="0" applyProtection="0"/>
    <xf numFmtId="0" fontId="103" fillId="0" borderId="91" applyNumberFormat="0" applyFill="0" applyAlignment="0" applyProtection="0"/>
    <xf numFmtId="0" fontId="103" fillId="0" borderId="91" applyNumberFormat="0" applyFill="0" applyAlignment="0" applyProtection="0"/>
    <xf numFmtId="0" fontId="103" fillId="0" borderId="91" applyNumberFormat="0" applyFill="0" applyAlignment="0" applyProtection="0"/>
    <xf numFmtId="0" fontId="103" fillId="0" borderId="91" applyNumberFormat="0" applyFill="0" applyAlignment="0" applyProtection="0"/>
    <xf numFmtId="0" fontId="103" fillId="0" borderId="91" applyNumberFormat="0" applyFill="0" applyAlignment="0" applyProtection="0"/>
    <xf numFmtId="0" fontId="103" fillId="0" borderId="91" applyNumberFormat="0" applyFill="0" applyAlignment="0" applyProtection="0"/>
    <xf numFmtId="0" fontId="103" fillId="0" borderId="91" applyNumberFormat="0" applyFill="0" applyAlignment="0" applyProtection="0"/>
    <xf numFmtId="0" fontId="103" fillId="0" borderId="91" applyNumberFormat="0" applyFill="0" applyProtection="0">
      <alignment wrapText="1"/>
    </xf>
    <xf numFmtId="0" fontId="103" fillId="0" borderId="91" applyNumberFormat="0" applyFill="0" applyProtection="0">
      <alignment wrapText="1"/>
    </xf>
    <xf numFmtId="0" fontId="103" fillId="0" borderId="91" applyNumberFormat="0" applyFill="0" applyProtection="0">
      <alignment wrapText="1"/>
    </xf>
    <xf numFmtId="0" fontId="103" fillId="0" borderId="91" applyNumberFormat="0" applyFill="0" applyAlignment="0" applyProtection="0"/>
    <xf numFmtId="0" fontId="103" fillId="0" borderId="91" applyNumberFormat="0" applyFill="0" applyAlignment="0" applyProtection="0"/>
    <xf numFmtId="0" fontId="103" fillId="0" borderId="91" applyNumberFormat="0" applyFill="0" applyAlignment="0" applyProtection="0"/>
    <xf numFmtId="0" fontId="103" fillId="0" borderId="91" applyNumberFormat="0" applyFill="0" applyAlignment="0" applyProtection="0"/>
    <xf numFmtId="0" fontId="103" fillId="0" borderId="91" applyNumberFormat="0" applyFill="0" applyAlignment="0" applyProtection="0"/>
    <xf numFmtId="0" fontId="103" fillId="0" borderId="91" applyNumberFormat="0" applyFill="0" applyAlignment="0" applyProtection="0"/>
    <xf numFmtId="0" fontId="103" fillId="0" borderId="91" applyNumberFormat="0" applyFill="0" applyAlignment="0" applyProtection="0"/>
    <xf numFmtId="0" fontId="103" fillId="0" borderId="91" applyNumberFormat="0" applyFill="0" applyAlignment="0" applyProtection="0"/>
    <xf numFmtId="0" fontId="103" fillId="0" borderId="91" applyNumberFormat="0" applyFill="0" applyAlignment="0" applyProtection="0"/>
    <xf numFmtId="0" fontId="103" fillId="0" borderId="91" applyNumberFormat="0" applyFill="0" applyAlignment="0" applyProtection="0"/>
    <xf numFmtId="0" fontId="103" fillId="0" borderId="91" applyNumberFormat="0" applyFill="0" applyProtection="0">
      <alignment wrapText="1"/>
    </xf>
    <xf numFmtId="0" fontId="103" fillId="0" borderId="91" applyNumberFormat="0" applyFill="0" applyProtection="0">
      <alignment wrapText="1"/>
    </xf>
    <xf numFmtId="0" fontId="103" fillId="0" borderId="91" applyNumberFormat="0" applyFill="0" applyProtection="0">
      <alignment wrapText="1"/>
    </xf>
    <xf numFmtId="0" fontId="103" fillId="0" borderId="91" applyNumberFormat="0" applyFill="0" applyAlignment="0" applyProtection="0"/>
    <xf numFmtId="0" fontId="103" fillId="0" borderId="91" applyNumberFormat="0" applyFill="0" applyAlignment="0" applyProtection="0"/>
    <xf numFmtId="0" fontId="103" fillId="0" borderId="91" applyNumberFormat="0" applyFill="0" applyAlignment="0" applyProtection="0"/>
    <xf numFmtId="0" fontId="103" fillId="0" borderId="91" applyNumberFormat="0" applyFill="0" applyAlignment="0" applyProtection="0"/>
    <xf numFmtId="0" fontId="103" fillId="0" borderId="91" applyNumberFormat="0" applyFill="0" applyAlignment="0" applyProtection="0"/>
    <xf numFmtId="0" fontId="103" fillId="0" borderId="91" applyNumberFormat="0" applyFill="0" applyAlignment="0" applyProtection="0"/>
    <xf numFmtId="0" fontId="103" fillId="0" borderId="91" applyNumberFormat="0" applyFill="0" applyAlignment="0" applyProtection="0"/>
    <xf numFmtId="0" fontId="103" fillId="0" borderId="91" applyNumberFormat="0" applyFill="0" applyAlignment="0" applyProtection="0"/>
    <xf numFmtId="0" fontId="103" fillId="0" borderId="91" applyNumberFormat="0" applyFill="0" applyAlignment="0" applyProtection="0"/>
    <xf numFmtId="0" fontId="103" fillId="0" borderId="91" applyNumberFormat="0" applyFill="0" applyAlignment="0" applyProtection="0"/>
    <xf numFmtId="0" fontId="103" fillId="0" borderId="91" applyNumberFormat="0" applyFill="0" applyProtection="0">
      <alignment wrapText="1"/>
    </xf>
    <xf numFmtId="0" fontId="103" fillId="0" borderId="91" applyNumberFormat="0" applyFill="0" applyProtection="0">
      <alignment wrapText="1"/>
    </xf>
    <xf numFmtId="0" fontId="103" fillId="0" borderId="91" applyNumberFormat="0" applyFill="0" applyProtection="0">
      <alignment wrapText="1"/>
    </xf>
    <xf numFmtId="0" fontId="103" fillId="0" borderId="91" applyNumberFormat="0" applyFill="0" applyAlignment="0" applyProtection="0"/>
    <xf numFmtId="0" fontId="103" fillId="0" borderId="91" applyNumberFormat="0" applyFill="0" applyAlignment="0" applyProtection="0"/>
    <xf numFmtId="0" fontId="103" fillId="0" borderId="91" applyNumberFormat="0" applyFill="0" applyAlignment="0" applyProtection="0"/>
    <xf numFmtId="0" fontId="103" fillId="0" borderId="91" applyNumberFormat="0" applyFill="0" applyAlignment="0" applyProtection="0"/>
    <xf numFmtId="0" fontId="103" fillId="0" borderId="91" applyNumberFormat="0" applyFill="0" applyAlignment="0" applyProtection="0"/>
    <xf numFmtId="0" fontId="103" fillId="0" borderId="91" applyNumberFormat="0" applyFill="0" applyAlignment="0" applyProtection="0"/>
    <xf numFmtId="0" fontId="103" fillId="0" borderId="91" applyNumberFormat="0" applyFill="0" applyAlignment="0" applyProtection="0"/>
    <xf numFmtId="0" fontId="103" fillId="0" borderId="91" applyNumberFormat="0" applyFill="0" applyAlignment="0" applyProtection="0"/>
    <xf numFmtId="0" fontId="103" fillId="0" borderId="91" applyNumberFormat="0" applyFill="0" applyAlignment="0" applyProtection="0"/>
    <xf numFmtId="0" fontId="103" fillId="0" borderId="91" applyNumberFormat="0" applyFill="0" applyAlignment="0" applyProtection="0"/>
    <xf numFmtId="0" fontId="103" fillId="0" borderId="91" applyNumberFormat="0" applyFill="0" applyProtection="0">
      <alignment wrapText="1"/>
    </xf>
    <xf numFmtId="0" fontId="103" fillId="0" borderId="91" applyNumberFormat="0" applyFill="0" applyProtection="0">
      <alignment wrapText="1"/>
    </xf>
    <xf numFmtId="0" fontId="103" fillId="0" borderId="91" applyNumberFormat="0" applyFill="0" applyProtection="0">
      <alignment wrapText="1"/>
    </xf>
    <xf numFmtId="0" fontId="103" fillId="0" borderId="91" applyNumberFormat="0" applyFill="0" applyAlignment="0" applyProtection="0"/>
    <xf numFmtId="0" fontId="103" fillId="0" borderId="91" applyNumberFormat="0" applyFill="0" applyAlignment="0" applyProtection="0"/>
    <xf numFmtId="0" fontId="103" fillId="0" borderId="91" applyNumberFormat="0" applyFill="0" applyAlignment="0" applyProtection="0"/>
    <xf numFmtId="0" fontId="103" fillId="0" borderId="91" applyNumberFormat="0" applyFill="0" applyAlignment="0" applyProtection="0"/>
    <xf numFmtId="0" fontId="103" fillId="0" borderId="91" applyNumberFormat="0" applyFill="0" applyAlignment="0" applyProtection="0"/>
    <xf numFmtId="0" fontId="103" fillId="0" borderId="91" applyNumberFormat="0" applyFill="0" applyAlignment="0" applyProtection="0"/>
    <xf numFmtId="0" fontId="103" fillId="0" borderId="91" applyNumberFormat="0" applyFill="0" applyAlignment="0" applyProtection="0"/>
    <xf numFmtId="0" fontId="103" fillId="0" borderId="91" applyNumberFormat="0" applyFill="0" applyAlignment="0" applyProtection="0"/>
    <xf numFmtId="0" fontId="103" fillId="0" borderId="91" applyNumberFormat="0" applyFill="0" applyAlignment="0" applyProtection="0"/>
    <xf numFmtId="0" fontId="103" fillId="0" borderId="91" applyNumberFormat="0" applyFill="0" applyAlignment="0" applyProtection="0"/>
    <xf numFmtId="0" fontId="103" fillId="0" borderId="91" applyNumberFormat="0" applyFill="0" applyProtection="0">
      <alignment wrapText="1"/>
    </xf>
    <xf numFmtId="0" fontId="103" fillId="0" borderId="91" applyNumberFormat="0" applyFill="0" applyProtection="0">
      <alignment wrapText="1"/>
    </xf>
    <xf numFmtId="0" fontId="103" fillId="0" borderId="91" applyNumberFormat="0" applyFill="0" applyProtection="0">
      <alignment wrapText="1"/>
    </xf>
    <xf numFmtId="0" fontId="103" fillId="0" borderId="91" applyNumberFormat="0" applyFill="0" applyAlignment="0" applyProtection="0"/>
    <xf numFmtId="0" fontId="103" fillId="0" borderId="91" applyNumberFormat="0" applyFill="0" applyAlignment="0" applyProtection="0"/>
    <xf numFmtId="0" fontId="103" fillId="0" borderId="91" applyNumberFormat="0" applyFill="0" applyAlignment="0" applyProtection="0"/>
    <xf numFmtId="0" fontId="103" fillId="0" borderId="91" applyNumberFormat="0" applyFill="0" applyProtection="0">
      <alignment wrapText="1"/>
    </xf>
    <xf numFmtId="0" fontId="103" fillId="0" borderId="91" applyNumberFormat="0" applyFill="0" applyProtection="0">
      <alignment wrapText="1"/>
    </xf>
    <xf numFmtId="0" fontId="103" fillId="0" borderId="91" applyNumberFormat="0" applyFill="0" applyProtection="0">
      <alignment wrapText="1"/>
    </xf>
    <xf numFmtId="0" fontId="103" fillId="0" borderId="91" applyNumberFormat="0" applyFill="0" applyProtection="0">
      <alignment wrapText="1"/>
    </xf>
    <xf numFmtId="0" fontId="103" fillId="0" borderId="91" applyNumberFormat="0" applyFill="0" applyProtection="0">
      <alignment wrapText="1"/>
    </xf>
    <xf numFmtId="0" fontId="103" fillId="0" borderId="91" applyNumberFormat="0" applyFill="0" applyProtection="0">
      <alignment wrapText="1"/>
    </xf>
    <xf numFmtId="0" fontId="101" fillId="0" borderId="0" applyNumberFormat="0" applyFill="0" applyBorder="0" applyProtection="0">
      <alignment wrapText="1"/>
    </xf>
    <xf numFmtId="0" fontId="101" fillId="0" borderId="0" applyNumberFormat="0" applyFill="0" applyBorder="0" applyProtection="0">
      <alignment wrapText="1"/>
    </xf>
    <xf numFmtId="0" fontId="101" fillId="0" borderId="0" applyNumberFormat="0" applyFill="0" applyBorder="0" applyProtection="0">
      <alignment wrapText="1"/>
    </xf>
    <xf numFmtId="0" fontId="101" fillId="0" borderId="0" applyNumberFormat="0" applyFill="0" applyBorder="0" applyProtection="0">
      <alignment wrapText="1"/>
    </xf>
    <xf numFmtId="0" fontId="101" fillId="0" borderId="0" applyNumberFormat="0" applyFill="0" applyBorder="0" applyProtection="0">
      <alignment wrapText="1"/>
    </xf>
    <xf numFmtId="0" fontId="101" fillId="0" borderId="0" applyNumberFormat="0" applyFill="0" applyBorder="0" applyProtection="0">
      <alignment wrapText="1"/>
    </xf>
    <xf numFmtId="0" fontId="101" fillId="0" borderId="0" applyNumberFormat="0" applyFill="0" applyBorder="0" applyProtection="0">
      <alignment wrapText="1"/>
    </xf>
    <xf numFmtId="0" fontId="101" fillId="0" borderId="0" applyNumberFormat="0" applyFill="0" applyBorder="0" applyProtection="0">
      <alignment wrapText="1"/>
    </xf>
    <xf numFmtId="0" fontId="101" fillId="0" borderId="0" applyNumberFormat="0" applyFill="0" applyBorder="0" applyProtection="0">
      <alignment wrapText="1"/>
    </xf>
    <xf numFmtId="0" fontId="101" fillId="0" borderId="0" applyNumberFormat="0" applyFill="0" applyBorder="0" applyProtection="0">
      <alignment wrapText="1"/>
    </xf>
    <xf numFmtId="0" fontId="101" fillId="0" borderId="0" applyNumberFormat="0" applyFill="0" applyBorder="0" applyProtection="0">
      <alignment wrapText="1"/>
    </xf>
    <xf numFmtId="0" fontId="101" fillId="0" borderId="0" applyNumberFormat="0" applyFill="0" applyBorder="0" applyProtection="0">
      <alignment wrapText="1"/>
    </xf>
    <xf numFmtId="0" fontId="101" fillId="0" borderId="0" applyNumberFormat="0" applyFill="0" applyBorder="0" applyProtection="0">
      <alignment wrapText="1"/>
    </xf>
    <xf numFmtId="0" fontId="101" fillId="0" borderId="0" applyNumberFormat="0" applyFill="0" applyBorder="0" applyProtection="0">
      <alignment wrapText="1"/>
    </xf>
    <xf numFmtId="0" fontId="101" fillId="0" borderId="0" applyNumberFormat="0" applyFill="0" applyBorder="0" applyProtection="0">
      <alignment wrapText="1"/>
    </xf>
    <xf numFmtId="0" fontId="101" fillId="0" borderId="0" applyNumberFormat="0" applyFill="0" applyBorder="0" applyProtection="0">
      <alignment wrapText="1"/>
    </xf>
    <xf numFmtId="0" fontId="101" fillId="0" borderId="0" applyNumberFormat="0" applyFill="0" applyBorder="0" applyProtection="0">
      <alignment wrapText="1"/>
    </xf>
    <xf numFmtId="0" fontId="101" fillId="0" borderId="0" applyNumberFormat="0" applyFill="0" applyBorder="0" applyProtection="0">
      <alignment wrapText="1"/>
    </xf>
    <xf numFmtId="0" fontId="101" fillId="0" borderId="0" applyNumberFormat="0" applyFill="0" applyBorder="0" applyAlignment="0" applyProtection="0"/>
    <xf numFmtId="0" fontId="101" fillId="0" borderId="0" applyNumberFormat="0" applyFill="0" applyBorder="0" applyProtection="0">
      <alignment wrapText="1"/>
    </xf>
    <xf numFmtId="0" fontId="101" fillId="0" borderId="0" applyNumberFormat="0" applyFill="0" applyBorder="0" applyProtection="0">
      <alignment wrapText="1"/>
    </xf>
    <xf numFmtId="0" fontId="101" fillId="0" borderId="0" applyNumberFormat="0" applyFill="0" applyBorder="0" applyProtection="0">
      <alignment wrapText="1"/>
    </xf>
    <xf numFmtId="0" fontId="101" fillId="0" borderId="0" applyNumberFormat="0" applyFill="0" applyBorder="0" applyProtection="0">
      <alignment wrapText="1"/>
    </xf>
    <xf numFmtId="0" fontId="101" fillId="0" borderId="0" applyNumberFormat="0" applyFill="0" applyBorder="0" applyProtection="0">
      <alignment wrapText="1"/>
    </xf>
    <xf numFmtId="0" fontId="101" fillId="0" borderId="0" applyNumberFormat="0" applyFill="0" applyBorder="0" applyProtection="0">
      <alignment wrapText="1"/>
    </xf>
    <xf numFmtId="0" fontId="101" fillId="0" borderId="0" applyNumberFormat="0" applyFill="0" applyBorder="0" applyProtection="0">
      <alignment wrapText="1"/>
    </xf>
    <xf numFmtId="0" fontId="101" fillId="0" borderId="0" applyNumberFormat="0" applyFill="0" applyBorder="0" applyProtection="0">
      <alignment wrapText="1"/>
    </xf>
    <xf numFmtId="0" fontId="101" fillId="0" borderId="0" applyNumberFormat="0" applyFill="0" applyBorder="0" applyProtection="0">
      <alignment wrapText="1"/>
    </xf>
    <xf numFmtId="0" fontId="101" fillId="0" borderId="0" applyNumberFormat="0" applyFill="0" applyBorder="0" applyProtection="0">
      <alignment wrapText="1"/>
    </xf>
    <xf numFmtId="0" fontId="101" fillId="0" borderId="0" applyNumberFormat="0" applyFill="0" applyBorder="0" applyProtection="0">
      <alignment wrapText="1"/>
    </xf>
    <xf numFmtId="0" fontId="101" fillId="0" borderId="0" applyNumberFormat="0" applyFill="0" applyBorder="0" applyProtection="0">
      <alignment wrapText="1"/>
    </xf>
    <xf numFmtId="0" fontId="101" fillId="0" borderId="0" applyNumberFormat="0" applyFill="0" applyBorder="0" applyProtection="0">
      <alignment wrapText="1"/>
    </xf>
    <xf numFmtId="0" fontId="101" fillId="0" borderId="0" applyNumberFormat="0" applyFill="0" applyBorder="0" applyProtection="0">
      <alignment wrapText="1"/>
    </xf>
    <xf numFmtId="0" fontId="101" fillId="0" borderId="0" applyNumberFormat="0" applyFill="0" applyBorder="0" applyProtection="0">
      <alignment wrapText="1"/>
    </xf>
    <xf numFmtId="0" fontId="101" fillId="0" borderId="0" applyNumberFormat="0" applyFill="0" applyBorder="0" applyProtection="0">
      <alignment wrapText="1"/>
    </xf>
    <xf numFmtId="0" fontId="106" fillId="82" borderId="45" applyNumberFormat="0" applyAlignment="0" applyProtection="0"/>
    <xf numFmtId="0" fontId="10" fillId="0" borderId="0"/>
    <xf numFmtId="0" fontId="24" fillId="0" borderId="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33" borderId="42" applyNumberFormat="0" applyFont="0" applyAlignment="0" applyProtection="0"/>
    <xf numFmtId="0" fontId="4" fillId="0" borderId="0"/>
    <xf numFmtId="0" fontId="10" fillId="0" borderId="0"/>
    <xf numFmtId="0" fontId="85" fillId="0" borderId="0"/>
    <xf numFmtId="9" fontId="10" fillId="0" borderId="0" applyFont="0" applyFill="0" applyBorder="0" applyAlignment="0" applyProtection="0"/>
    <xf numFmtId="0" fontId="121" fillId="0" borderId="0"/>
    <xf numFmtId="0" fontId="121" fillId="0" borderId="0"/>
    <xf numFmtId="0" fontId="26" fillId="0" borderId="0"/>
    <xf numFmtId="0" fontId="26" fillId="0" borderId="0"/>
    <xf numFmtId="0" fontId="10" fillId="0" borderId="0"/>
    <xf numFmtId="0" fontId="146" fillId="0" borderId="0"/>
    <xf numFmtId="177" fontId="146" fillId="0" borderId="0" applyFont="0" applyFill="0" applyBorder="0" applyAlignment="0" applyProtection="0"/>
    <xf numFmtId="0" fontId="195" fillId="0" borderId="0" applyNumberFormat="0" applyBorder="0" applyProtection="0"/>
    <xf numFmtId="164" fontId="10"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0" fillId="0" borderId="0" applyFont="0" applyFill="0" applyBorder="0" applyAlignment="0" applyProtection="0"/>
    <xf numFmtId="164" fontId="24" fillId="0" borderId="0" applyFont="0" applyFill="0" applyBorder="0" applyAlignment="0" applyProtection="0"/>
    <xf numFmtId="164" fontId="10" fillId="0" borderId="0" applyFont="0" applyFill="0" applyBorder="0" applyAlignment="0" applyProtection="0"/>
    <xf numFmtId="0" fontId="4" fillId="0" borderId="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3" fillId="28" borderId="36" applyNumberFormat="0" applyAlignment="0" applyProtection="0"/>
    <xf numFmtId="164" fontId="10"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22" fillId="0" borderId="41" applyNumberFormat="0" applyFill="0" applyAlignment="0" applyProtection="0"/>
    <xf numFmtId="0" fontId="23" fillId="32" borderId="0" applyNumberFormat="0" applyBorder="0" applyAlignment="0" applyProtection="0"/>
    <xf numFmtId="0" fontId="10" fillId="33" borderId="42" applyNumberFormat="0" applyFont="0" applyAlignment="0" applyProtection="0"/>
    <xf numFmtId="0" fontId="29" fillId="0" borderId="44" applyNumberFormat="0" applyFill="0" applyAlignment="0" applyProtection="0"/>
    <xf numFmtId="164" fontId="10" fillId="0" borderId="0" applyFont="0" applyFill="0" applyBorder="0" applyAlignment="0" applyProtection="0"/>
    <xf numFmtId="164" fontId="24"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0" fillId="0" borderId="0" applyFont="0" applyFill="0" applyBorder="0" applyAlignment="0" applyProtection="0"/>
    <xf numFmtId="164" fontId="24" fillId="0" borderId="0" applyFont="0" applyFill="0" applyBorder="0" applyAlignment="0" applyProtection="0"/>
    <xf numFmtId="164" fontId="10" fillId="0" borderId="0" applyFont="0" applyFill="0" applyBorder="0" applyAlignment="0" applyProtection="0"/>
  </cellStyleXfs>
  <cellXfs count="1631">
    <xf numFmtId="0" fontId="0" fillId="0" borderId="0" xfId="0"/>
    <xf numFmtId="0" fontId="31" fillId="0" borderId="1" xfId="0" applyFont="1" applyFill="1" applyBorder="1" applyAlignment="1">
      <alignment horizontal="left" vertical="center" wrapText="1"/>
    </xf>
    <xf numFmtId="0" fontId="31" fillId="0" borderId="1" xfId="0" applyFont="1" applyBorder="1" applyAlignment="1">
      <alignment horizontal="left" vertical="center"/>
    </xf>
    <xf numFmtId="0" fontId="31" fillId="0" borderId="2" xfId="0" applyFont="1" applyBorder="1" applyAlignment="1">
      <alignment horizontal="left" vertical="center" wrapText="1"/>
    </xf>
    <xf numFmtId="0" fontId="31" fillId="0" borderId="2" xfId="0" applyFont="1" applyBorder="1" applyAlignment="1">
      <alignment vertical="center" wrapText="1"/>
    </xf>
    <xf numFmtId="0" fontId="31" fillId="0" borderId="3" xfId="0" applyFont="1" applyBorder="1" applyAlignment="1">
      <alignment horizontal="left" vertical="center"/>
    </xf>
    <xf numFmtId="0" fontId="0" fillId="0" borderId="1" xfId="0" applyFont="1" applyFill="1" applyBorder="1" applyAlignment="1">
      <alignment horizontal="left" vertical="center"/>
    </xf>
    <xf numFmtId="3" fontId="31" fillId="0" borderId="1" xfId="0" applyNumberFormat="1" applyFont="1" applyBorder="1" applyAlignment="1">
      <alignment horizontal="right" vertical="center"/>
    </xf>
    <xf numFmtId="0" fontId="0" fillId="0" borderId="3" xfId="0" applyFont="1" applyFill="1" applyBorder="1" applyAlignment="1">
      <alignment horizontal="left" vertical="center"/>
    </xf>
    <xf numFmtId="0" fontId="0" fillId="0" borderId="1" xfId="0" applyFont="1" applyBorder="1" applyAlignment="1">
      <alignment horizontal="left" vertical="center"/>
    </xf>
    <xf numFmtId="0" fontId="32" fillId="34" borderId="2" xfId="0" applyFont="1" applyFill="1" applyBorder="1" applyAlignment="1">
      <alignment horizontal="right" vertical="center"/>
    </xf>
    <xf numFmtId="0" fontId="32" fillId="34" borderId="2" xfId="0" applyFont="1" applyFill="1" applyBorder="1" applyAlignment="1">
      <alignment horizontal="right" vertical="center" wrapText="1"/>
    </xf>
    <xf numFmtId="0" fontId="0" fillId="0" borderId="4" xfId="0" applyFont="1" applyBorder="1" applyAlignment="1">
      <alignment vertical="center" wrapText="1"/>
    </xf>
    <xf numFmtId="0" fontId="33" fillId="0" borderId="1" xfId="0" applyFont="1" applyFill="1" applyBorder="1" applyAlignment="1">
      <alignment horizontal="right" vertical="center"/>
    </xf>
    <xf numFmtId="0" fontId="11" fillId="35" borderId="0" xfId="0" applyFont="1" applyFill="1" applyBorder="1"/>
    <xf numFmtId="0" fontId="34" fillId="0" borderId="0" xfId="0" applyFont="1" applyAlignment="1">
      <alignment horizontal="left"/>
    </xf>
    <xf numFmtId="0" fontId="35" fillId="0" borderId="5" xfId="0" applyFont="1" applyFill="1" applyBorder="1" applyAlignment="1">
      <alignment horizontal="left"/>
    </xf>
    <xf numFmtId="0" fontId="14" fillId="36" borderId="6" xfId="0" applyFont="1" applyFill="1" applyBorder="1"/>
    <xf numFmtId="0" fontId="14" fillId="36" borderId="7" xfId="0" applyFont="1" applyFill="1" applyBorder="1" applyAlignment="1">
      <alignment horizontal="center" wrapText="1"/>
    </xf>
    <xf numFmtId="0" fontId="14" fillId="36" borderId="7" xfId="0" applyFont="1" applyFill="1" applyBorder="1" applyAlignment="1">
      <alignment horizontal="center"/>
    </xf>
    <xf numFmtId="0" fontId="14" fillId="36" borderId="8" xfId="0" applyFont="1" applyFill="1" applyBorder="1" applyAlignment="1">
      <alignment horizontal="center"/>
    </xf>
    <xf numFmtId="0" fontId="14" fillId="36" borderId="1" xfId="0" applyFont="1" applyFill="1" applyBorder="1"/>
    <xf numFmtId="0" fontId="14" fillId="36" borderId="9" xfId="0" applyFont="1" applyFill="1" applyBorder="1" applyAlignment="1"/>
    <xf numFmtId="0" fontId="14" fillId="36" borderId="10" xfId="0" applyFont="1" applyFill="1" applyBorder="1" applyAlignment="1"/>
    <xf numFmtId="0" fontId="14" fillId="36" borderId="6" xfId="0" applyFont="1" applyFill="1" applyBorder="1" applyAlignment="1">
      <alignment horizontal="left" vertical="center"/>
    </xf>
    <xf numFmtId="0" fontId="14" fillId="36" borderId="11" xfId="0" applyFont="1" applyFill="1" applyBorder="1" applyAlignment="1">
      <alignment horizontal="left" vertical="center" wrapText="1"/>
    </xf>
    <xf numFmtId="3" fontId="14" fillId="36" borderId="7" xfId="0" applyNumberFormat="1" applyFont="1" applyFill="1" applyBorder="1"/>
    <xf numFmtId="0" fontId="14" fillId="36" borderId="12" xfId="0" applyFont="1" applyFill="1" applyBorder="1" applyAlignment="1">
      <alignment horizontal="left" vertical="center"/>
    </xf>
    <xf numFmtId="0" fontId="14" fillId="36" borderId="0" xfId="0" applyFont="1" applyFill="1" applyBorder="1" applyAlignment="1">
      <alignment horizontal="left" vertical="center" wrapText="1"/>
    </xf>
    <xf numFmtId="0" fontId="14" fillId="36" borderId="13" xfId="0" applyFont="1" applyFill="1" applyBorder="1" applyAlignment="1">
      <alignment horizontal="left" vertical="center" wrapText="1"/>
    </xf>
    <xf numFmtId="0" fontId="31" fillId="0" borderId="1" xfId="0" applyFont="1" applyBorder="1" applyAlignment="1">
      <alignment horizontal="left" vertical="center" wrapText="1"/>
    </xf>
    <xf numFmtId="3" fontId="14" fillId="36" borderId="14" xfId="0" applyNumberFormat="1" applyFont="1" applyFill="1" applyBorder="1" applyAlignment="1">
      <alignment vertical="center"/>
    </xf>
    <xf numFmtId="0" fontId="0" fillId="0" borderId="1" xfId="0" applyFont="1" applyBorder="1" applyAlignment="1">
      <alignment wrapText="1"/>
    </xf>
    <xf numFmtId="3" fontId="33" fillId="0" borderId="1" xfId="0" applyNumberFormat="1" applyFont="1" applyBorder="1" applyAlignment="1">
      <alignment horizontal="right" vertical="center"/>
    </xf>
    <xf numFmtId="0" fontId="29" fillId="0" borderId="15" xfId="0" applyFont="1" applyBorder="1" applyAlignment="1"/>
    <xf numFmtId="3" fontId="0" fillId="0" borderId="1" xfId="0" applyNumberFormat="1" applyFont="1" applyBorder="1" applyAlignment="1">
      <alignment horizontal="right" vertical="center"/>
    </xf>
    <xf numFmtId="3" fontId="31" fillId="0" borderId="1" xfId="0" applyNumberFormat="1" applyFont="1" applyFill="1" applyBorder="1" applyAlignment="1">
      <alignment horizontal="right" vertical="center"/>
    </xf>
    <xf numFmtId="3" fontId="0" fillId="0" borderId="3" xfId="0" applyNumberFormat="1" applyFont="1" applyFill="1" applyBorder="1"/>
    <xf numFmtId="3" fontId="33" fillId="34" borderId="3" xfId="0" applyNumberFormat="1" applyFont="1" applyFill="1" applyBorder="1"/>
    <xf numFmtId="3" fontId="11" fillId="35" borderId="0" xfId="0" applyNumberFormat="1" applyFont="1" applyFill="1" applyBorder="1" applyAlignment="1">
      <alignment horizontal="right" vertical="center"/>
    </xf>
    <xf numFmtId="3" fontId="11" fillId="36" borderId="1" xfId="0" applyNumberFormat="1" applyFont="1" applyFill="1" applyBorder="1" applyAlignment="1">
      <alignment horizontal="right" vertical="center"/>
    </xf>
    <xf numFmtId="3" fontId="14" fillId="36" borderId="16" xfId="0" applyNumberFormat="1" applyFont="1" applyFill="1" applyBorder="1" applyAlignment="1"/>
    <xf numFmtId="0" fontId="14" fillId="36" borderId="17" xfId="0" applyFont="1" applyFill="1" applyBorder="1" applyAlignment="1"/>
    <xf numFmtId="3" fontId="14" fillId="36" borderId="7" xfId="0" applyNumberFormat="1" applyFont="1" applyFill="1" applyBorder="1" applyAlignment="1">
      <alignment vertical="center"/>
    </xf>
    <xf numFmtId="9" fontId="14" fillId="36" borderId="4" xfId="0" applyNumberFormat="1" applyFont="1" applyFill="1" applyBorder="1" applyAlignment="1">
      <alignment vertical="center"/>
    </xf>
    <xf numFmtId="9" fontId="14" fillId="36" borderId="7" xfId="0" applyNumberFormat="1" applyFont="1" applyFill="1" applyBorder="1" applyAlignment="1">
      <alignment vertical="center"/>
    </xf>
    <xf numFmtId="3" fontId="0" fillId="0" borderId="1" xfId="0" applyNumberFormat="1" applyFont="1" applyFill="1" applyBorder="1"/>
    <xf numFmtId="0" fontId="36" fillId="0" borderId="0" xfId="0" applyFont="1" applyAlignment="1">
      <alignment horizontal="left"/>
    </xf>
    <xf numFmtId="3" fontId="37" fillId="0" borderId="0" xfId="0" applyNumberFormat="1" applyFont="1" applyFill="1" applyBorder="1"/>
    <xf numFmtId="0" fontId="36" fillId="0" borderId="0" xfId="0" applyFont="1"/>
    <xf numFmtId="0" fontId="38" fillId="0" borderId="0" xfId="0" applyFont="1" applyAlignment="1">
      <alignment horizontal="left"/>
    </xf>
    <xf numFmtId="0" fontId="0" fillId="0" borderId="0" xfId="0"/>
    <xf numFmtId="0" fontId="30" fillId="0" borderId="0" xfId="0" applyFont="1"/>
    <xf numFmtId="0" fontId="31" fillId="0" borderId="0" xfId="0" applyFont="1"/>
    <xf numFmtId="0" fontId="0" fillId="0" borderId="0" xfId="0" applyBorder="1"/>
    <xf numFmtId="0" fontId="3" fillId="2" borderId="20" xfId="0" applyNumberFormat="1" applyFont="1" applyFill="1" applyBorder="1" applyAlignment="1">
      <alignment horizontal="center" vertical="center"/>
    </xf>
    <xf numFmtId="0" fontId="3" fillId="2" borderId="21" xfId="0" applyNumberFormat="1" applyFont="1" applyFill="1" applyBorder="1" applyAlignment="1">
      <alignment horizontal="center" vertical="center"/>
    </xf>
    <xf numFmtId="167" fontId="5" fillId="0" borderId="1" xfId="0" applyNumberFormat="1" applyFont="1" applyFill="1" applyBorder="1" applyAlignment="1">
      <alignment horizontal="center" vertical="center" wrapText="1"/>
    </xf>
    <xf numFmtId="1" fontId="5" fillId="0" borderId="1" xfId="0" applyNumberFormat="1" applyFont="1" applyFill="1" applyBorder="1" applyAlignment="1">
      <alignment horizontal="center" vertical="center" wrapText="1"/>
    </xf>
    <xf numFmtId="167" fontId="8" fillId="0" borderId="1" xfId="0" applyNumberFormat="1" applyFont="1" applyFill="1" applyBorder="1" applyAlignment="1">
      <alignment horizontal="center" vertical="center" wrapText="1"/>
    </xf>
    <xf numFmtId="167" fontId="8" fillId="37"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1" fontId="8" fillId="0" borderId="1" xfId="0" applyNumberFormat="1" applyFont="1" applyFill="1" applyBorder="1" applyAlignment="1">
      <alignment horizontal="center" vertical="center" wrapText="1"/>
    </xf>
    <xf numFmtId="167" fontId="8" fillId="37" borderId="1" xfId="0" applyNumberFormat="1" applyFont="1" applyFill="1" applyBorder="1" applyAlignment="1">
      <alignment horizontal="center" wrapText="1"/>
    </xf>
    <xf numFmtId="1" fontId="8" fillId="37" borderId="1" xfId="0" applyNumberFormat="1" applyFont="1" applyFill="1" applyBorder="1" applyAlignment="1">
      <alignment horizontal="center" wrapText="1"/>
    </xf>
    <xf numFmtId="1" fontId="5" fillId="0" borderId="2" xfId="0" applyNumberFormat="1" applyFont="1" applyFill="1" applyBorder="1" applyAlignment="1">
      <alignment horizontal="center" vertical="center" wrapText="1"/>
    </xf>
    <xf numFmtId="0" fontId="5" fillId="2" borderId="19" xfId="0" applyNumberFormat="1" applyFont="1" applyFill="1" applyBorder="1" applyAlignment="1">
      <alignment horizontal="center" vertical="center"/>
    </xf>
    <xf numFmtId="0" fontId="5" fillId="2" borderId="23" xfId="0" applyNumberFormat="1" applyFont="1" applyFill="1" applyBorder="1" applyAlignment="1">
      <alignment horizontal="center" vertical="center"/>
    </xf>
    <xf numFmtId="0" fontId="7" fillId="0" borderId="25" xfId="0" applyFont="1" applyFill="1" applyBorder="1" applyAlignment="1">
      <alignment horizontal="left" wrapText="1"/>
    </xf>
    <xf numFmtId="2" fontId="5" fillId="0" borderId="1" xfId="0" applyNumberFormat="1" applyFont="1" applyFill="1" applyBorder="1" applyAlignment="1">
      <alignment horizontal="center" vertical="center" wrapText="1"/>
    </xf>
    <xf numFmtId="1" fontId="5" fillId="35" borderId="1" xfId="0" applyNumberFormat="1" applyFont="1" applyFill="1" applyBorder="1" applyAlignment="1">
      <alignment horizontal="center" vertical="center" wrapText="1"/>
    </xf>
    <xf numFmtId="167" fontId="5" fillId="35" borderId="1" xfId="0" applyNumberFormat="1" applyFont="1" applyFill="1" applyBorder="1" applyAlignment="1">
      <alignment horizontal="center" vertical="center" wrapText="1"/>
    </xf>
    <xf numFmtId="167" fontId="5" fillId="37" borderId="1" xfId="0" applyNumberFormat="1" applyFont="1" applyFill="1" applyBorder="1" applyAlignment="1">
      <alignment horizontal="center" vertical="center" wrapText="1"/>
    </xf>
    <xf numFmtId="167" fontId="5" fillId="37" borderId="1" xfId="0" applyNumberFormat="1" applyFont="1" applyFill="1" applyBorder="1" applyAlignment="1">
      <alignment horizontal="center" wrapText="1"/>
    </xf>
    <xf numFmtId="1" fontId="5" fillId="0" borderId="1" xfId="0" applyNumberFormat="1" applyFont="1" applyFill="1" applyBorder="1" applyAlignment="1">
      <alignment horizontal="center"/>
    </xf>
    <xf numFmtId="2" fontId="5" fillId="0" borderId="1" xfId="0" applyNumberFormat="1" applyFont="1" applyBorder="1" applyAlignment="1">
      <alignment horizontal="center"/>
    </xf>
    <xf numFmtId="2" fontId="5" fillId="0" borderId="1" xfId="0" applyNumberFormat="1" applyFont="1" applyFill="1" applyBorder="1" applyAlignment="1">
      <alignment horizontal="center"/>
    </xf>
    <xf numFmtId="2" fontId="5" fillId="37" borderId="1" xfId="0" applyNumberFormat="1" applyFont="1" applyFill="1" applyBorder="1" applyAlignment="1">
      <alignment horizontal="center" vertical="center" wrapText="1"/>
    </xf>
    <xf numFmtId="2" fontId="5" fillId="0" borderId="1" xfId="0" applyNumberFormat="1" applyFont="1" applyBorder="1" applyAlignment="1">
      <alignment horizontal="center" vertical="center"/>
    </xf>
    <xf numFmtId="1" fontId="5" fillId="35" borderId="1" xfId="0" applyNumberFormat="1" applyFont="1" applyFill="1" applyBorder="1" applyAlignment="1">
      <alignment horizontal="center"/>
    </xf>
    <xf numFmtId="0" fontId="7" fillId="0" borderId="26" xfId="0" applyFont="1" applyFill="1" applyBorder="1" applyAlignment="1">
      <alignment horizontal="left" wrapText="1"/>
    </xf>
    <xf numFmtId="2" fontId="5" fillId="0" borderId="2" xfId="0" applyNumberFormat="1" applyFont="1" applyFill="1" applyBorder="1" applyAlignment="1">
      <alignment horizontal="center" vertical="center" wrapText="1"/>
    </xf>
    <xf numFmtId="167" fontId="5" fillId="35" borderId="2" xfId="0" applyNumberFormat="1" applyFont="1" applyFill="1" applyBorder="1" applyAlignment="1">
      <alignment horizontal="center" vertical="center" wrapText="1"/>
    </xf>
    <xf numFmtId="0" fontId="7" fillId="0" borderId="1" xfId="0" applyFont="1" applyFill="1" applyBorder="1" applyAlignment="1">
      <alignment horizontal="left" wrapText="1"/>
    </xf>
    <xf numFmtId="2" fontId="8" fillId="0" borderId="1" xfId="0" applyNumberFormat="1" applyFont="1" applyFill="1" applyBorder="1" applyAlignment="1">
      <alignment horizontal="center" vertical="center" wrapText="1"/>
    </xf>
    <xf numFmtId="2" fontId="8" fillId="35" borderId="1" xfId="0" applyNumberFormat="1" applyFont="1" applyFill="1" applyBorder="1" applyAlignment="1">
      <alignment horizontal="center" vertical="center" wrapText="1"/>
    </xf>
    <xf numFmtId="2" fontId="7" fillId="0" borderId="28" xfId="0" applyNumberFormat="1" applyFont="1" applyBorder="1" applyAlignment="1">
      <alignment horizontal="center" vertical="center"/>
    </xf>
    <xf numFmtId="2" fontId="5" fillId="0" borderId="20" xfId="0" applyNumberFormat="1" applyFont="1" applyFill="1" applyBorder="1" applyAlignment="1">
      <alignment horizontal="center" vertical="center"/>
    </xf>
    <xf numFmtId="0" fontId="0" fillId="0" borderId="0" xfId="0"/>
    <xf numFmtId="0" fontId="0" fillId="0" borderId="1" xfId="0" applyFont="1" applyBorder="1"/>
    <xf numFmtId="3" fontId="0" fillId="0" borderId="0" xfId="0" applyNumberFormat="1"/>
    <xf numFmtId="0" fontId="0" fillId="0" borderId="0" xfId="0" applyFont="1"/>
    <xf numFmtId="3" fontId="14" fillId="0" borderId="0" xfId="0" applyNumberFormat="1" applyFont="1" applyFill="1" applyBorder="1"/>
    <xf numFmtId="0" fontId="14" fillId="36" borderId="1" xfId="0" applyFont="1" applyFill="1" applyBorder="1" applyAlignment="1"/>
    <xf numFmtId="3" fontId="11" fillId="35" borderId="1" xfId="0" applyNumberFormat="1" applyFont="1" applyFill="1" applyBorder="1" applyAlignment="1">
      <alignment horizontal="right" vertical="center"/>
    </xf>
    <xf numFmtId="0" fontId="8" fillId="0" borderId="0" xfId="0" applyFont="1" applyFill="1"/>
    <xf numFmtId="3" fontId="0" fillId="38" borderId="1" xfId="0" applyNumberFormat="1" applyFont="1" applyFill="1" applyBorder="1" applyAlignment="1">
      <alignment horizontal="right" vertical="center"/>
    </xf>
    <xf numFmtId="0" fontId="11" fillId="35" borderId="1" xfId="0" applyFont="1" applyFill="1" applyBorder="1"/>
    <xf numFmtId="3" fontId="14" fillId="36" borderId="1" xfId="0" applyNumberFormat="1" applyFont="1" applyFill="1" applyBorder="1" applyAlignment="1"/>
    <xf numFmtId="0" fontId="35" fillId="0" borderId="1" xfId="0" applyFont="1" applyFill="1" applyBorder="1" applyAlignment="1">
      <alignment horizontal="left"/>
    </xf>
    <xf numFmtId="0" fontId="14" fillId="36" borderId="1" xfId="0" applyFont="1" applyFill="1" applyBorder="1" applyAlignment="1">
      <alignment horizontal="center"/>
    </xf>
    <xf numFmtId="0" fontId="32" fillId="34" borderId="1" xfId="0" applyFont="1" applyFill="1" applyBorder="1" applyAlignment="1">
      <alignment horizontal="right" vertical="center"/>
    </xf>
    <xf numFmtId="0" fontId="14" fillId="36" borderId="1" xfId="0" applyFont="1" applyFill="1" applyBorder="1" applyAlignment="1">
      <alignment horizontal="left" vertical="center"/>
    </xf>
    <xf numFmtId="3" fontId="14" fillId="36" borderId="1" xfId="0" applyNumberFormat="1" applyFont="1" applyFill="1" applyBorder="1" applyAlignment="1">
      <alignment vertical="center"/>
    </xf>
    <xf numFmtId="9" fontId="14" fillId="36" borderId="1" xfId="0" applyNumberFormat="1" applyFont="1" applyFill="1" applyBorder="1" applyAlignment="1">
      <alignment vertical="center"/>
    </xf>
    <xf numFmtId="0" fontId="31" fillId="0" borderId="1" xfId="0" applyFont="1" applyBorder="1" applyAlignment="1">
      <alignment vertical="center" wrapText="1"/>
    </xf>
    <xf numFmtId="0" fontId="14" fillId="36" borderId="1" xfId="0" applyFont="1" applyFill="1" applyBorder="1" applyAlignment="1">
      <alignment horizontal="left" vertical="center" wrapText="1"/>
    </xf>
    <xf numFmtId="0" fontId="0" fillId="0" borderId="1" xfId="0" applyFont="1" applyBorder="1" applyAlignment="1">
      <alignment vertical="center" wrapText="1"/>
    </xf>
    <xf numFmtId="3" fontId="14" fillId="36" borderId="1" xfId="0" applyNumberFormat="1" applyFont="1" applyFill="1" applyBorder="1"/>
    <xf numFmtId="167" fontId="8" fillId="35" borderId="1" xfId="0" applyNumberFormat="1" applyFont="1" applyFill="1" applyBorder="1" applyAlignment="1">
      <alignment horizontal="center" vertical="center" wrapText="1"/>
    </xf>
    <xf numFmtId="0" fontId="0" fillId="0" borderId="0" xfId="0"/>
    <xf numFmtId="0" fontId="31" fillId="0" borderId="1" xfId="0" applyFont="1" applyBorder="1" applyAlignment="1">
      <alignment horizontal="left" vertical="center"/>
    </xf>
    <xf numFmtId="0" fontId="0" fillId="0" borderId="1" xfId="0" applyFont="1" applyBorder="1"/>
    <xf numFmtId="2" fontId="7" fillId="0" borderId="1" xfId="0" applyNumberFormat="1" applyFont="1" applyFill="1" applyBorder="1" applyAlignment="1">
      <alignment horizontal="center" vertical="center" wrapText="1"/>
    </xf>
    <xf numFmtId="2" fontId="7" fillId="0" borderId="1" xfId="0" applyNumberFormat="1" applyFont="1" applyFill="1" applyBorder="1" applyAlignment="1">
      <alignment horizontal="left" vertical="top" wrapText="1"/>
    </xf>
    <xf numFmtId="2" fontId="7" fillId="0" borderId="2" xfId="0" applyNumberFormat="1" applyFont="1" applyFill="1" applyBorder="1" applyAlignment="1">
      <alignment horizontal="center" vertical="center" wrapText="1"/>
    </xf>
    <xf numFmtId="2" fontId="5" fillId="0" borderId="22" xfId="0" applyNumberFormat="1" applyFont="1" applyBorder="1" applyAlignment="1">
      <alignment horizontal="center" vertical="center"/>
    </xf>
    <xf numFmtId="0" fontId="14" fillId="36" borderId="18" xfId="0" applyFont="1" applyFill="1" applyBorder="1" applyAlignment="1"/>
    <xf numFmtId="0" fontId="29" fillId="0" borderId="10" xfId="0" applyFont="1" applyBorder="1" applyAlignment="1"/>
    <xf numFmtId="0" fontId="29" fillId="0" borderId="17" xfId="0" applyFont="1" applyBorder="1" applyAlignment="1"/>
    <xf numFmtId="0" fontId="29" fillId="0" borderId="18" xfId="0" applyFont="1" applyBorder="1" applyAlignment="1"/>
    <xf numFmtId="3" fontId="39" fillId="0" borderId="0" xfId="0" applyNumberFormat="1" applyFont="1" applyFill="1" applyBorder="1"/>
    <xf numFmtId="0" fontId="7" fillId="0" borderId="1" xfId="0" applyFont="1" applyFill="1" applyBorder="1" applyAlignment="1">
      <alignment horizontal="left" vertical="top"/>
    </xf>
    <xf numFmtId="0" fontId="6" fillId="35" borderId="1" xfId="0" applyFont="1" applyFill="1" applyBorder="1" applyAlignment="1">
      <alignment horizontal="left" vertical="top"/>
    </xf>
    <xf numFmtId="0" fontId="6" fillId="0" borderId="1" xfId="0" applyFont="1" applyFill="1" applyBorder="1" applyAlignment="1">
      <alignment horizontal="left" vertical="top"/>
    </xf>
    <xf numFmtId="0" fontId="7" fillId="0" borderId="2" xfId="0" applyFont="1" applyFill="1" applyBorder="1" applyAlignment="1">
      <alignment horizontal="left" vertical="top"/>
    </xf>
    <xf numFmtId="0" fontId="6" fillId="0" borderId="2" xfId="0" applyFont="1" applyFill="1" applyBorder="1" applyAlignment="1">
      <alignment horizontal="left" vertical="top"/>
    </xf>
    <xf numFmtId="0" fontId="0" fillId="0" borderId="0" xfId="0" applyFont="1" applyFill="1"/>
    <xf numFmtId="0" fontId="0" fillId="0" borderId="0" xfId="0" applyFont="1" applyFill="1" applyBorder="1"/>
    <xf numFmtId="2" fontId="5" fillId="37" borderId="1" xfId="0" applyNumberFormat="1" applyFont="1" applyFill="1" applyBorder="1" applyAlignment="1">
      <alignment vertical="center" wrapText="1"/>
    </xf>
    <xf numFmtId="2" fontId="5" fillId="0" borderId="1" xfId="0" applyNumberFormat="1" applyFont="1" applyFill="1" applyBorder="1" applyAlignment="1">
      <alignment vertical="center" wrapText="1"/>
    </xf>
    <xf numFmtId="2" fontId="5" fillId="0" borderId="1" xfId="0" applyNumberFormat="1" applyFont="1" applyFill="1" applyBorder="1" applyAlignment="1"/>
    <xf numFmtId="2" fontId="7" fillId="0" borderId="1" xfId="0" applyNumberFormat="1" applyFont="1" applyFill="1" applyBorder="1" applyAlignment="1">
      <alignment vertical="center" wrapText="1"/>
    </xf>
    <xf numFmtId="2" fontId="7" fillId="37" borderId="1" xfId="0" applyNumberFormat="1" applyFont="1" applyFill="1" applyBorder="1" applyAlignment="1">
      <alignment vertical="center" wrapText="1"/>
    </xf>
    <xf numFmtId="2" fontId="7" fillId="35" borderId="1" xfId="0" applyNumberFormat="1" applyFont="1" applyFill="1" applyBorder="1" applyAlignment="1">
      <alignment vertical="center" wrapText="1"/>
    </xf>
    <xf numFmtId="2" fontId="5" fillId="35" borderId="1" xfId="0" applyNumberFormat="1" applyFont="1" applyFill="1" applyBorder="1" applyAlignment="1">
      <alignment vertical="center" wrapText="1"/>
    </xf>
    <xf numFmtId="2" fontId="7" fillId="0" borderId="2" xfId="0" applyNumberFormat="1" applyFont="1" applyFill="1" applyBorder="1" applyAlignment="1">
      <alignment vertical="center" wrapText="1"/>
    </xf>
    <xf numFmtId="2" fontId="5" fillId="0" borderId="2" xfId="0" applyNumberFormat="1" applyFont="1" applyFill="1" applyBorder="1" applyAlignment="1"/>
    <xf numFmtId="2" fontId="5" fillId="0" borderId="2" xfId="0" applyNumberFormat="1" applyFont="1" applyFill="1" applyBorder="1" applyAlignment="1">
      <alignment vertical="center" wrapText="1"/>
    </xf>
    <xf numFmtId="2" fontId="5" fillId="0" borderId="2" xfId="0" applyNumberFormat="1" applyFont="1" applyFill="1" applyBorder="1" applyAlignment="1">
      <alignment vertical="center"/>
    </xf>
    <xf numFmtId="3" fontId="33" fillId="34" borderId="1" xfId="0" applyNumberFormat="1" applyFont="1" applyFill="1" applyBorder="1" applyAlignment="1">
      <alignment horizontal="right" indent="1"/>
    </xf>
    <xf numFmtId="0" fontId="8" fillId="0" borderId="0" xfId="0" applyFont="1" applyAlignment="1">
      <alignment horizontal="center"/>
    </xf>
    <xf numFmtId="0" fontId="6" fillId="37" borderId="3" xfId="0" applyFont="1" applyFill="1" applyBorder="1" applyAlignment="1">
      <alignment horizontal="left" vertical="top" wrapText="1"/>
    </xf>
    <xf numFmtId="0" fontId="7" fillId="37" borderId="3" xfId="0" applyFont="1" applyFill="1" applyBorder="1" applyAlignment="1">
      <alignment vertical="center" wrapText="1"/>
    </xf>
    <xf numFmtId="0" fontId="5" fillId="37" borderId="3" xfId="0" applyNumberFormat="1" applyFont="1" applyFill="1" applyBorder="1" applyAlignment="1">
      <alignment vertical="center" wrapText="1"/>
    </xf>
    <xf numFmtId="0" fontId="6" fillId="37" borderId="3" xfId="0" applyNumberFormat="1" applyFont="1" applyFill="1" applyBorder="1" applyAlignment="1">
      <alignment horizontal="left" vertical="top" wrapText="1"/>
    </xf>
    <xf numFmtId="0" fontId="8" fillId="37" borderId="3" xfId="0" applyFont="1" applyFill="1" applyBorder="1" applyAlignment="1">
      <alignment horizontal="center"/>
    </xf>
    <xf numFmtId="0" fontId="8" fillId="0" borderId="1" xfId="0" applyFont="1" applyFill="1" applyBorder="1" applyAlignment="1">
      <alignment horizontal="center" vertical="center"/>
    </xf>
    <xf numFmtId="0" fontId="8" fillId="0" borderId="1" xfId="0" applyFont="1" applyFill="1" applyBorder="1" applyAlignment="1">
      <alignment horizontal="center" wrapText="1"/>
    </xf>
    <xf numFmtId="0" fontId="8" fillId="0" borderId="0" xfId="0" applyFont="1" applyFill="1" applyAlignment="1">
      <alignment horizontal="left"/>
    </xf>
    <xf numFmtId="0" fontId="8" fillId="0" borderId="0" xfId="0" applyFont="1" applyFill="1" applyAlignment="1">
      <alignment horizontal="center"/>
    </xf>
    <xf numFmtId="0" fontId="8" fillId="0" borderId="1" xfId="0" applyFont="1" applyFill="1" applyBorder="1" applyAlignment="1">
      <alignment horizontal="center" vertical="center" wrapText="1"/>
    </xf>
    <xf numFmtId="2" fontId="5" fillId="0" borderId="1" xfId="0" applyNumberFormat="1" applyFont="1" applyFill="1" applyBorder="1" applyAlignment="1">
      <alignment vertical="center"/>
    </xf>
    <xf numFmtId="2" fontId="8" fillId="0" borderId="1" xfId="0" applyNumberFormat="1" applyFont="1" applyFill="1" applyBorder="1" applyAlignment="1"/>
    <xf numFmtId="0" fontId="5" fillId="0" borderId="0" xfId="0" applyFont="1" applyAlignment="1">
      <alignment horizontal="left" vertical="top"/>
    </xf>
    <xf numFmtId="0" fontId="6" fillId="37" borderId="1" xfId="0" applyFont="1" applyFill="1" applyBorder="1" applyAlignment="1">
      <alignment horizontal="left" vertical="top"/>
    </xf>
    <xf numFmtId="0" fontId="8" fillId="0" borderId="0" xfId="0" applyFont="1"/>
    <xf numFmtId="2" fontId="5" fillId="0" borderId="1" xfId="0" quotePrefix="1" applyNumberFormat="1" applyFont="1" applyFill="1" applyBorder="1" applyAlignment="1">
      <alignment vertical="center" wrapText="1"/>
    </xf>
    <xf numFmtId="2" fontId="8" fillId="0" borderId="1" xfId="0" applyNumberFormat="1" applyFont="1" applyFill="1" applyBorder="1" applyAlignment="1">
      <alignment vertical="center"/>
    </xf>
    <xf numFmtId="2" fontId="5" fillId="0" borderId="10" xfId="0" applyNumberFormat="1" applyFont="1" applyFill="1" applyBorder="1" applyAlignment="1">
      <alignment horizontal="center" vertical="center"/>
    </xf>
    <xf numFmtId="2" fontId="5" fillId="0" borderId="1" xfId="0" applyNumberFormat="1" applyFont="1" applyFill="1" applyBorder="1" applyAlignment="1">
      <alignment horizontal="center" vertical="center"/>
    </xf>
    <xf numFmtId="1" fontId="8" fillId="37" borderId="1" xfId="0" applyNumberFormat="1" applyFont="1" applyFill="1" applyBorder="1" applyAlignment="1">
      <alignment horizontal="center" vertical="center" wrapText="1"/>
    </xf>
    <xf numFmtId="0" fontId="5" fillId="0" borderId="0" xfId="0" applyFont="1" applyFill="1"/>
    <xf numFmtId="2" fontId="5" fillId="35" borderId="2" xfId="0" applyNumberFormat="1" applyFont="1" applyFill="1" applyBorder="1" applyAlignment="1">
      <alignment vertical="center"/>
    </xf>
    <xf numFmtId="0" fontId="7" fillId="0" borderId="22" xfId="0" applyFont="1" applyBorder="1" applyAlignment="1">
      <alignment horizontal="left" vertical="top"/>
    </xf>
    <xf numFmtId="0" fontId="5" fillId="0" borderId="0" xfId="0" applyFont="1"/>
    <xf numFmtId="0" fontId="43" fillId="0" borderId="0" xfId="0" applyFont="1"/>
    <xf numFmtId="0" fontId="5" fillId="0" borderId="0" xfId="0" applyFont="1" applyAlignment="1">
      <alignment horizontal="center" vertical="center"/>
    </xf>
    <xf numFmtId="0" fontId="5" fillId="0" borderId="0" xfId="0" applyNumberFormat="1" applyFont="1" applyAlignment="1">
      <alignment horizontal="center" vertical="center"/>
    </xf>
    <xf numFmtId="0" fontId="7" fillId="0" borderId="0" xfId="0" applyNumberFormat="1" applyFont="1" applyAlignment="1">
      <alignment horizontal="left" vertical="top"/>
    </xf>
    <xf numFmtId="2" fontId="5" fillId="0" borderId="1" xfId="0" quotePrefix="1" applyNumberFormat="1" applyFont="1" applyFill="1" applyBorder="1" applyAlignment="1">
      <alignment vertical="center"/>
    </xf>
    <xf numFmtId="2" fontId="8" fillId="0" borderId="0" xfId="0" applyNumberFormat="1" applyFont="1" applyFill="1" applyAlignment="1">
      <alignment vertical="center"/>
    </xf>
    <xf numFmtId="2" fontId="5" fillId="0" borderId="18" xfId="0" applyNumberFormat="1" applyFont="1" applyFill="1" applyBorder="1" applyAlignment="1">
      <alignment vertical="center" wrapText="1"/>
    </xf>
    <xf numFmtId="2" fontId="5" fillId="0" borderId="3" xfId="0" applyNumberFormat="1" applyFont="1" applyFill="1" applyBorder="1" applyAlignment="1">
      <alignment vertical="center" wrapText="1"/>
    </xf>
    <xf numFmtId="2" fontId="5" fillId="0" borderId="2" xfId="0" quotePrefix="1" applyNumberFormat="1" applyFont="1" applyFill="1" applyBorder="1" applyAlignment="1">
      <alignment vertical="center" wrapText="1"/>
    </xf>
    <xf numFmtId="0" fontId="6" fillId="37" borderId="24" xfId="0" applyFont="1" applyFill="1" applyBorder="1" applyAlignment="1">
      <alignment horizontal="left" wrapText="1"/>
    </xf>
    <xf numFmtId="0" fontId="5" fillId="37" borderId="3" xfId="0" applyNumberFormat="1" applyFont="1" applyFill="1" applyBorder="1" applyAlignment="1">
      <alignment horizontal="center" vertical="center" wrapText="1"/>
    </xf>
    <xf numFmtId="0" fontId="6" fillId="37" borderId="25" xfId="0" applyFont="1" applyFill="1" applyBorder="1" applyAlignment="1">
      <alignment horizontal="left" wrapText="1"/>
    </xf>
    <xf numFmtId="1" fontId="5" fillId="37" borderId="1" xfId="0" applyNumberFormat="1" applyFont="1" applyFill="1" applyBorder="1" applyAlignment="1">
      <alignment horizontal="center" vertical="center" wrapText="1"/>
    </xf>
    <xf numFmtId="0" fontId="45" fillId="0" borderId="0" xfId="0" applyFont="1" applyFill="1" applyAlignment="1">
      <alignment horizontal="left" wrapText="1"/>
    </xf>
    <xf numFmtId="1" fontId="5" fillId="0" borderId="1" xfId="0" applyNumberFormat="1" applyFont="1" applyFill="1" applyBorder="1" applyAlignment="1">
      <alignment horizontal="center" vertical="center"/>
    </xf>
    <xf numFmtId="2" fontId="5" fillId="0" borderId="1" xfId="0" applyNumberFormat="1" applyFont="1" applyBorder="1" applyAlignment="1">
      <alignment horizontal="center" wrapText="1"/>
    </xf>
    <xf numFmtId="2" fontId="8" fillId="0" borderId="1" xfId="0" applyNumberFormat="1" applyFont="1" applyBorder="1"/>
    <xf numFmtId="0" fontId="8" fillId="0" borderId="1" xfId="0" applyFont="1" applyFill="1" applyBorder="1"/>
    <xf numFmtId="0" fontId="7" fillId="0" borderId="27" xfId="0" applyFont="1" applyBorder="1" applyAlignment="1">
      <alignment horizontal="left"/>
    </xf>
    <xf numFmtId="0" fontId="5" fillId="0" borderId="29" xfId="0" applyFont="1" applyBorder="1"/>
    <xf numFmtId="2" fontId="5" fillId="0" borderId="30" xfId="0" applyNumberFormat="1" applyFont="1" applyBorder="1" applyAlignment="1">
      <alignment horizontal="center"/>
    </xf>
    <xf numFmtId="0" fontId="5" fillId="0" borderId="19" xfId="0" applyFont="1" applyBorder="1" applyAlignment="1">
      <alignment horizontal="left"/>
    </xf>
    <xf numFmtId="0" fontId="5" fillId="0" borderId="20" xfId="0" applyFont="1" applyBorder="1"/>
    <xf numFmtId="0" fontId="5" fillId="0" borderId="20" xfId="0" applyFont="1" applyBorder="1" applyAlignment="1">
      <alignment horizontal="center"/>
    </xf>
    <xf numFmtId="3" fontId="0" fillId="0" borderId="0" xfId="0" applyNumberFormat="1" applyFont="1"/>
    <xf numFmtId="0" fontId="29" fillId="0" borderId="0" xfId="0" applyFont="1" applyFill="1" applyBorder="1"/>
    <xf numFmtId="0" fontId="29" fillId="0" borderId="0" xfId="0" applyFont="1"/>
    <xf numFmtId="0" fontId="29" fillId="0" borderId="0" xfId="0" applyFont="1" applyFill="1"/>
    <xf numFmtId="0" fontId="0" fillId="0" borderId="0" xfId="0" applyFont="1" applyAlignment="1">
      <alignment horizontal="left"/>
    </xf>
    <xf numFmtId="0" fontId="0" fillId="0" borderId="0" xfId="0" applyFont="1" applyAlignment="1">
      <alignment vertical="center"/>
    </xf>
    <xf numFmtId="0" fontId="29" fillId="0" borderId="0" xfId="0" applyFont="1" applyAlignment="1">
      <alignment vertical="center"/>
    </xf>
    <xf numFmtId="0" fontId="31" fillId="38" borderId="1" xfId="0" applyFont="1" applyFill="1" applyBorder="1" applyAlignment="1">
      <alignment horizontal="left" vertical="center" wrapText="1"/>
    </xf>
    <xf numFmtId="3" fontId="0" fillId="0" borderId="3" xfId="0" applyNumberFormat="1" applyFont="1" applyFill="1" applyBorder="1" applyAlignment="1">
      <alignment vertical="center"/>
    </xf>
    <xf numFmtId="0" fontId="30" fillId="0" borderId="0" xfId="0" applyFont="1" applyAlignment="1">
      <alignment wrapText="1"/>
    </xf>
    <xf numFmtId="0" fontId="33" fillId="0" borderId="0" xfId="0" applyFont="1" applyAlignment="1">
      <alignment horizontal="right"/>
    </xf>
    <xf numFmtId="0" fontId="11" fillId="35" borderId="0" xfId="0" applyFont="1" applyFill="1"/>
    <xf numFmtId="0" fontId="29" fillId="0" borderId="46" xfId="0" applyFont="1" applyBorder="1" applyAlignment="1"/>
    <xf numFmtId="0" fontId="0" fillId="0" borderId="1" xfId="0" applyBorder="1"/>
    <xf numFmtId="0" fontId="0" fillId="0" borderId="0" xfId="0" applyFont="1" applyBorder="1" applyAlignment="1"/>
    <xf numFmtId="0" fontId="14" fillId="36" borderId="47" xfId="0" applyFont="1" applyFill="1" applyBorder="1" applyAlignment="1"/>
    <xf numFmtId="0" fontId="14" fillId="36" borderId="15" xfId="0" applyFont="1" applyFill="1" applyBorder="1" applyAlignment="1"/>
    <xf numFmtId="0" fontId="14" fillId="36" borderId="1" xfId="0" applyFont="1" applyFill="1" applyBorder="1" applyAlignment="1">
      <alignment horizontal="center" wrapText="1"/>
    </xf>
    <xf numFmtId="3" fontId="31" fillId="38" borderId="1" xfId="0" applyNumberFormat="1" applyFont="1" applyFill="1" applyBorder="1" applyAlignment="1">
      <alignment horizontal="right" vertical="center"/>
    </xf>
    <xf numFmtId="3" fontId="31" fillId="0" borderId="0" xfId="0" applyNumberFormat="1" applyFont="1" applyFill="1" applyBorder="1" applyAlignment="1">
      <alignment horizontal="right" vertical="center"/>
    </xf>
    <xf numFmtId="3" fontId="31" fillId="0" borderId="1" xfId="0" applyNumberFormat="1" applyFont="1" applyFill="1" applyBorder="1"/>
    <xf numFmtId="0" fontId="0" fillId="0" borderId="0" xfId="0" applyFill="1"/>
    <xf numFmtId="3" fontId="31" fillId="0" borderId="3" xfId="0" applyNumberFormat="1" applyFont="1" applyFill="1" applyBorder="1"/>
    <xf numFmtId="1" fontId="8" fillId="0" borderId="1" xfId="0" applyNumberFormat="1" applyFont="1" applyFill="1" applyBorder="1" applyAlignment="1">
      <alignment horizontal="center" vertical="center"/>
    </xf>
    <xf numFmtId="1" fontId="8" fillId="35" borderId="1" xfId="0" applyNumberFormat="1" applyFont="1" applyFill="1" applyBorder="1" applyAlignment="1">
      <alignment horizontal="center" vertical="center" wrapText="1"/>
    </xf>
    <xf numFmtId="0" fontId="6" fillId="40" borderId="0" xfId="0" applyFont="1" applyFill="1" applyBorder="1" applyAlignment="1">
      <alignment horizontal="center" vertical="center"/>
    </xf>
    <xf numFmtId="0" fontId="8" fillId="0" borderId="1" xfId="0" applyFont="1" applyFill="1" applyBorder="1" applyAlignment="1">
      <alignment horizontal="center"/>
    </xf>
    <xf numFmtId="0" fontId="47" fillId="0" borderId="0" xfId="0" applyFont="1"/>
    <xf numFmtId="0" fontId="47" fillId="41" borderId="0" xfId="0" applyFont="1" applyFill="1"/>
    <xf numFmtId="0" fontId="47" fillId="0" borderId="0" xfId="0" applyFont="1" applyBorder="1"/>
    <xf numFmtId="0" fontId="47" fillId="0" borderId="1" xfId="0" applyFont="1" applyFill="1" applyBorder="1" applyAlignment="1">
      <alignment horizontal="left" vertical="center"/>
    </xf>
    <xf numFmtId="0" fontId="6" fillId="2" borderId="50" xfId="0" applyFont="1" applyFill="1" applyBorder="1" applyAlignment="1">
      <alignment horizontal="center" vertical="center"/>
    </xf>
    <xf numFmtId="0" fontId="6" fillId="2" borderId="51" xfId="0" applyFont="1" applyFill="1" applyBorder="1" applyAlignment="1">
      <alignment horizontal="center" vertical="center"/>
    </xf>
    <xf numFmtId="0" fontId="43" fillId="0" borderId="1" xfId="0" applyFont="1" applyFill="1" applyBorder="1" applyAlignment="1">
      <alignment horizontal="center" vertical="center"/>
    </xf>
    <xf numFmtId="0" fontId="43" fillId="0" borderId="1" xfId="0" applyFont="1" applyFill="1" applyBorder="1" applyAlignment="1">
      <alignment horizontal="center" vertical="center" wrapText="1"/>
    </xf>
    <xf numFmtId="0" fontId="43" fillId="0" borderId="1" xfId="0" applyNumberFormat="1" applyFont="1" applyFill="1" applyBorder="1" applyAlignment="1">
      <alignment horizontal="center" vertical="center"/>
    </xf>
    <xf numFmtId="0" fontId="47" fillId="0" borderId="1" xfId="0" applyNumberFormat="1" applyFont="1" applyFill="1" applyBorder="1" applyAlignment="1">
      <alignment horizontal="right" vertical="center"/>
    </xf>
    <xf numFmtId="0" fontId="47" fillId="0" borderId="1" xfId="0" applyNumberFormat="1" applyFont="1" applyFill="1" applyBorder="1" applyAlignment="1">
      <alignment vertical="center"/>
    </xf>
    <xf numFmtId="0" fontId="47" fillId="0" borderId="1" xfId="0" applyNumberFormat="1" applyFont="1" applyFill="1" applyBorder="1" applyAlignment="1">
      <alignment horizontal="center" vertical="center"/>
    </xf>
    <xf numFmtId="2" fontId="47" fillId="0" borderId="1" xfId="0" applyNumberFormat="1" applyFont="1" applyFill="1" applyBorder="1" applyAlignment="1">
      <alignment vertical="center"/>
    </xf>
    <xf numFmtId="0" fontId="43" fillId="0" borderId="1" xfId="0" applyFont="1" applyFill="1" applyBorder="1" applyAlignment="1">
      <alignment horizontal="right" vertical="center"/>
    </xf>
    <xf numFmtId="0" fontId="43" fillId="0" borderId="1" xfId="0" applyFont="1" applyFill="1" applyBorder="1" applyAlignment="1">
      <alignment vertical="center"/>
    </xf>
    <xf numFmtId="2" fontId="43" fillId="0" borderId="1" xfId="0" applyNumberFormat="1" applyFont="1" applyFill="1" applyBorder="1" applyAlignment="1">
      <alignment vertical="center"/>
    </xf>
    <xf numFmtId="0" fontId="47" fillId="0" borderId="1" xfId="62" applyFont="1" applyFill="1" applyBorder="1" applyAlignment="1">
      <alignment horizontal="right" vertical="center"/>
    </xf>
    <xf numFmtId="0" fontId="47" fillId="0" borderId="1" xfId="62" applyFont="1" applyFill="1" applyBorder="1" applyAlignment="1">
      <alignment horizontal="left" vertical="center"/>
    </xf>
    <xf numFmtId="0" fontId="47" fillId="0" borderId="1" xfId="62" applyFont="1" applyFill="1" applyBorder="1" applyAlignment="1">
      <alignment horizontal="center" vertical="center"/>
    </xf>
    <xf numFmtId="0" fontId="47" fillId="0" borderId="0" xfId="0" applyFont="1" applyAlignment="1">
      <alignment vertical="center"/>
    </xf>
    <xf numFmtId="0" fontId="43" fillId="0" borderId="1" xfId="0" applyFont="1" applyFill="1" applyBorder="1" applyAlignment="1">
      <alignment vertical="center" wrapText="1"/>
    </xf>
    <xf numFmtId="2" fontId="47" fillId="0" borderId="1" xfId="0" applyNumberFormat="1" applyFont="1" applyFill="1" applyBorder="1" applyAlignment="1">
      <alignment horizontal="right" vertical="center"/>
    </xf>
    <xf numFmtId="2" fontId="47" fillId="0" borderId="1" xfId="48" applyNumberFormat="1" applyFont="1" applyFill="1" applyBorder="1" applyAlignment="1">
      <alignment horizontal="right" vertical="center"/>
    </xf>
    <xf numFmtId="2" fontId="49" fillId="0" borderId="1" xfId="0" applyNumberFormat="1" applyFont="1" applyFill="1" applyBorder="1" applyAlignment="1">
      <alignment vertical="center"/>
    </xf>
    <xf numFmtId="0" fontId="35" fillId="0" borderId="0" xfId="0" applyFont="1" applyAlignment="1">
      <alignment vertical="center"/>
    </xf>
    <xf numFmtId="0" fontId="43" fillId="0" borderId="1" xfId="0" applyFont="1" applyFill="1" applyBorder="1" applyAlignment="1">
      <alignment horizontal="right" vertical="center" wrapText="1"/>
    </xf>
    <xf numFmtId="0" fontId="43" fillId="0" borderId="1" xfId="0" applyFont="1" applyFill="1" applyBorder="1" applyAlignment="1">
      <alignment horizontal="left" vertical="center" wrapText="1"/>
    </xf>
    <xf numFmtId="0" fontId="5" fillId="2" borderId="1" xfId="0" applyFont="1" applyFill="1" applyBorder="1" applyAlignment="1">
      <alignment horizontal="center" vertical="center"/>
    </xf>
    <xf numFmtId="0" fontId="47" fillId="42" borderId="0" xfId="0" applyFont="1" applyFill="1" applyBorder="1" applyAlignment="1">
      <alignment vertical="center" wrapText="1"/>
    </xf>
    <xf numFmtId="4" fontId="48" fillId="0" borderId="1" xfId="0" applyNumberFormat="1" applyFont="1" applyFill="1" applyBorder="1" applyAlignment="1">
      <alignment horizontal="center" vertical="center" wrapText="1"/>
    </xf>
    <xf numFmtId="4" fontId="47" fillId="0" borderId="1" xfId="0" applyNumberFormat="1" applyFont="1" applyFill="1" applyBorder="1" applyAlignment="1">
      <alignment vertical="center"/>
    </xf>
    <xf numFmtId="4" fontId="47" fillId="0" borderId="1" xfId="0" applyNumberFormat="1" applyFont="1" applyFill="1" applyBorder="1" applyAlignment="1">
      <alignment vertical="center" wrapText="1"/>
    </xf>
    <xf numFmtId="0" fontId="42" fillId="0" borderId="0" xfId="0" applyFont="1" applyAlignment="1"/>
    <xf numFmtId="0" fontId="42" fillId="0" borderId="0" xfId="0" applyFont="1" applyAlignment="1">
      <alignment vertical="center"/>
    </xf>
    <xf numFmtId="0" fontId="9" fillId="40" borderId="0" xfId="0" applyFont="1" applyFill="1" applyBorder="1" applyAlignment="1">
      <alignment horizontal="center" vertical="center"/>
    </xf>
    <xf numFmtId="1" fontId="5" fillId="0" borderId="1" xfId="0" applyNumberFormat="1" applyFont="1" applyFill="1" applyBorder="1" applyAlignment="1">
      <alignment horizontal="left" wrapText="1"/>
    </xf>
    <xf numFmtId="1" fontId="50" fillId="37" borderId="1" xfId="0" applyNumberFormat="1" applyFont="1" applyFill="1" applyBorder="1" applyAlignment="1">
      <alignment horizontal="left" wrapText="1"/>
    </xf>
    <xf numFmtId="1" fontId="5" fillId="35" borderId="1" xfId="0" applyNumberFormat="1" applyFont="1" applyFill="1" applyBorder="1" applyAlignment="1">
      <alignment horizontal="left" wrapText="1"/>
    </xf>
    <xf numFmtId="166" fontId="5" fillId="0" borderId="1" xfId="28" applyNumberFormat="1" applyFont="1" applyFill="1" applyBorder="1" applyAlignment="1">
      <alignment horizontal="left" wrapText="1"/>
    </xf>
    <xf numFmtId="0" fontId="51" fillId="0" borderId="0" xfId="0" applyFont="1" applyAlignment="1">
      <alignment horizontal="left" vertical="top"/>
    </xf>
    <xf numFmtId="0" fontId="48" fillId="0" borderId="0" xfId="0" applyFont="1" applyAlignment="1"/>
    <xf numFmtId="0" fontId="52" fillId="0" borderId="0" xfId="0" applyFont="1" applyAlignment="1">
      <alignment horizontal="center" vertical="center"/>
    </xf>
    <xf numFmtId="0" fontId="51" fillId="0" borderId="0" xfId="0" applyNumberFormat="1" applyFont="1" applyAlignment="1">
      <alignment horizontal="center" vertical="center"/>
    </xf>
    <xf numFmtId="0" fontId="53" fillId="0" borderId="0" xfId="0" applyNumberFormat="1" applyFont="1" applyAlignment="1">
      <alignment horizontal="left" vertical="top"/>
    </xf>
    <xf numFmtId="0" fontId="51" fillId="0" borderId="0" xfId="0" applyFont="1"/>
    <xf numFmtId="1" fontId="55" fillId="43" borderId="49" xfId="0" applyNumberFormat="1" applyFont="1" applyFill="1" applyBorder="1" applyAlignment="1">
      <alignment horizontal="center" vertical="center"/>
    </xf>
    <xf numFmtId="0" fontId="51" fillId="0" borderId="0" xfId="0" applyFont="1" applyAlignment="1">
      <alignment horizontal="center"/>
    </xf>
    <xf numFmtId="0" fontId="56" fillId="37" borderId="3" xfId="0" applyFont="1" applyFill="1" applyBorder="1" applyAlignment="1">
      <alignment horizontal="left" vertical="top" wrapText="1"/>
    </xf>
    <xf numFmtId="0" fontId="57" fillId="37" borderId="3" xfId="0" applyFont="1" applyFill="1" applyBorder="1" applyAlignment="1">
      <alignment horizontal="center" vertical="center" wrapText="1"/>
    </xf>
    <xf numFmtId="0" fontId="50" fillId="37" borderId="3" xfId="0" applyNumberFormat="1" applyFont="1" applyFill="1" applyBorder="1" applyAlignment="1">
      <alignment horizontal="center" vertical="center" wrapText="1"/>
    </xf>
    <xf numFmtId="0" fontId="56" fillId="37" borderId="3" xfId="0" applyNumberFormat="1" applyFont="1" applyFill="1" applyBorder="1" applyAlignment="1">
      <alignment horizontal="left" vertical="top" wrapText="1"/>
    </xf>
    <xf numFmtId="0" fontId="51" fillId="37" borderId="3" xfId="0" applyFont="1" applyFill="1" applyBorder="1" applyAlignment="1">
      <alignment horizontal="center"/>
    </xf>
    <xf numFmtId="0" fontId="7" fillId="0" borderId="1" xfId="0" applyFont="1" applyFill="1" applyBorder="1" applyAlignment="1">
      <alignment horizontal="left" vertical="center" wrapText="1"/>
    </xf>
    <xf numFmtId="1" fontId="51" fillId="0" borderId="1" xfId="0" applyNumberFormat="1" applyFont="1" applyFill="1" applyBorder="1" applyAlignment="1">
      <alignment horizontal="center" vertical="center"/>
    </xf>
    <xf numFmtId="0" fontId="51" fillId="0" borderId="1" xfId="0" applyFont="1" applyFill="1" applyBorder="1" applyAlignment="1">
      <alignment horizontal="center" vertical="center"/>
    </xf>
    <xf numFmtId="0" fontId="51" fillId="0" borderId="1" xfId="0" applyFont="1" applyFill="1" applyBorder="1" applyAlignment="1">
      <alignment horizontal="center" vertical="center" wrapText="1"/>
    </xf>
    <xf numFmtId="0" fontId="58" fillId="0" borderId="0" xfId="0" applyFont="1" applyFill="1" applyAlignment="1">
      <alignment horizontal="left"/>
    </xf>
    <xf numFmtId="0" fontId="51" fillId="0" borderId="0" xfId="0" applyFont="1" applyFill="1" applyAlignment="1">
      <alignment horizontal="center"/>
    </xf>
    <xf numFmtId="0" fontId="51" fillId="0" borderId="0" xfId="0" applyFont="1" applyFill="1" applyAlignment="1">
      <alignment horizontal="left"/>
    </xf>
    <xf numFmtId="0" fontId="56" fillId="37" borderId="1" xfId="0" applyFont="1" applyFill="1" applyBorder="1" applyAlignment="1">
      <alignment horizontal="left" vertical="center" wrapText="1"/>
    </xf>
    <xf numFmtId="1" fontId="7" fillId="37" borderId="1" xfId="0" applyNumberFormat="1" applyFont="1" applyFill="1" applyBorder="1" applyAlignment="1">
      <alignment horizontal="center" vertical="center" wrapText="1"/>
    </xf>
    <xf numFmtId="1" fontId="50" fillId="37" borderId="1" xfId="0" applyNumberFormat="1" applyFont="1" applyFill="1" applyBorder="1" applyAlignment="1">
      <alignment horizontal="center" vertical="center" wrapText="1"/>
    </xf>
    <xf numFmtId="1" fontId="5" fillId="0" borderId="1" xfId="0" quotePrefix="1" applyNumberFormat="1" applyFont="1" applyFill="1" applyBorder="1" applyAlignment="1">
      <alignment horizontal="center" vertical="center"/>
    </xf>
    <xf numFmtId="0" fontId="5" fillId="35" borderId="0" xfId="0" applyFont="1" applyFill="1"/>
    <xf numFmtId="0" fontId="51" fillId="0" borderId="0" xfId="0" applyFont="1" applyFill="1"/>
    <xf numFmtId="1" fontId="5" fillId="35" borderId="1" xfId="0" applyNumberFormat="1" applyFont="1" applyFill="1" applyBorder="1" applyAlignment="1">
      <alignment horizontal="center" vertical="center"/>
    </xf>
    <xf numFmtId="0" fontId="58" fillId="0" borderId="0" xfId="0" applyFont="1" applyFill="1"/>
    <xf numFmtId="1" fontId="52" fillId="0" borderId="1" xfId="0" applyNumberFormat="1" applyFont="1" applyFill="1" applyBorder="1" applyAlignment="1">
      <alignment horizontal="center" vertical="center" wrapText="1"/>
    </xf>
    <xf numFmtId="1" fontId="5" fillId="35" borderId="1" xfId="0" applyNumberFormat="1" applyFont="1" applyFill="1" applyBorder="1" applyAlignment="1">
      <alignment vertical="center"/>
    </xf>
    <xf numFmtId="1" fontId="7" fillId="0" borderId="1" xfId="0" applyNumberFormat="1" applyFont="1" applyFill="1" applyBorder="1" applyAlignment="1">
      <alignment horizontal="left" vertical="center" wrapText="1"/>
    </xf>
    <xf numFmtId="0" fontId="7" fillId="35" borderId="1" xfId="0" applyFont="1" applyFill="1" applyBorder="1" applyAlignment="1">
      <alignment horizontal="left" vertical="center" wrapText="1"/>
    </xf>
    <xf numFmtId="1" fontId="7" fillId="35" borderId="1" xfId="0" applyNumberFormat="1" applyFont="1" applyFill="1" applyBorder="1" applyAlignment="1">
      <alignment horizontal="center" vertical="center" wrapText="1"/>
    </xf>
    <xf numFmtId="1" fontId="5" fillId="0" borderId="1" xfId="0" applyNumberFormat="1" applyFont="1" applyFill="1" applyBorder="1" applyAlignment="1">
      <alignment vertical="center"/>
    </xf>
    <xf numFmtId="1" fontId="52" fillId="35" borderId="1" xfId="0" applyNumberFormat="1" applyFont="1" applyFill="1" applyBorder="1" applyAlignment="1">
      <alignment horizontal="center" vertical="center" wrapText="1"/>
    </xf>
    <xf numFmtId="167" fontId="50" fillId="37" borderId="1" xfId="0" applyNumberFormat="1" applyFont="1" applyFill="1" applyBorder="1" applyAlignment="1">
      <alignment horizontal="center" vertical="center" wrapText="1"/>
    </xf>
    <xf numFmtId="1" fontId="59" fillId="0" borderId="1" xfId="0" applyNumberFormat="1" applyFont="1" applyFill="1" applyBorder="1" applyAlignment="1">
      <alignment horizontal="center" vertical="center" wrapText="1"/>
    </xf>
    <xf numFmtId="0" fontId="7" fillId="0" borderId="2" xfId="0" applyFont="1" applyFill="1" applyBorder="1" applyAlignment="1">
      <alignment horizontal="left" vertical="center" wrapText="1"/>
    </xf>
    <xf numFmtId="1" fontId="5" fillId="35" borderId="2" xfId="0" applyNumberFormat="1" applyFont="1" applyFill="1" applyBorder="1" applyAlignment="1">
      <alignment horizontal="center" vertical="center" wrapText="1"/>
    </xf>
    <xf numFmtId="1" fontId="5" fillId="0" borderId="2" xfId="0" applyNumberFormat="1" applyFont="1" applyFill="1" applyBorder="1" applyAlignment="1">
      <alignment horizontal="center" vertical="center"/>
    </xf>
    <xf numFmtId="0" fontId="57" fillId="37" borderId="20" xfId="0" applyFont="1" applyFill="1" applyBorder="1" applyAlignment="1">
      <alignment horizontal="left" vertical="center" wrapText="1"/>
    </xf>
    <xf numFmtId="0" fontId="7" fillId="0" borderId="54" xfId="0" applyFont="1" applyFill="1" applyBorder="1" applyAlignment="1">
      <alignment horizontal="left" vertical="center" wrapText="1"/>
    </xf>
    <xf numFmtId="1" fontId="5" fillId="0" borderId="6" xfId="0" applyNumberFormat="1" applyFont="1" applyFill="1" applyBorder="1" applyAlignment="1">
      <alignment horizontal="center" vertical="center" wrapText="1"/>
    </xf>
    <xf numFmtId="1" fontId="7" fillId="0" borderId="18" xfId="0" applyNumberFormat="1" applyFont="1" applyFill="1" applyBorder="1" applyAlignment="1">
      <alignment horizontal="left" wrapText="1"/>
    </xf>
    <xf numFmtId="0" fontId="53" fillId="0" borderId="0" xfId="0" applyFont="1" applyBorder="1" applyAlignment="1">
      <alignment horizontal="left" vertical="top"/>
    </xf>
    <xf numFmtId="167" fontId="5" fillId="0" borderId="0" xfId="0" applyNumberFormat="1" applyFont="1" applyBorder="1" applyAlignment="1">
      <alignment horizontal="center" vertical="center"/>
    </xf>
    <xf numFmtId="167" fontId="5" fillId="35" borderId="0" xfId="0" applyNumberFormat="1" applyFont="1" applyFill="1" applyBorder="1" applyAlignment="1">
      <alignment horizontal="center" vertical="center"/>
    </xf>
    <xf numFmtId="1" fontId="51" fillId="0" borderId="0" xfId="0" applyNumberFormat="1" applyFont="1" applyBorder="1" applyAlignment="1">
      <alignment horizontal="left" vertical="top"/>
    </xf>
    <xf numFmtId="1" fontId="51" fillId="0" borderId="0" xfId="0" applyNumberFormat="1" applyFont="1"/>
    <xf numFmtId="1" fontId="5" fillId="35" borderId="0" xfId="0" applyNumberFormat="1" applyFont="1" applyFill="1" applyAlignment="1">
      <alignment horizontal="center"/>
    </xf>
    <xf numFmtId="2" fontId="51" fillId="0" borderId="0" xfId="0" applyNumberFormat="1" applyFont="1"/>
    <xf numFmtId="2" fontId="5" fillId="35" borderId="0" xfId="0" applyNumberFormat="1" applyFont="1" applyFill="1" applyAlignment="1">
      <alignment horizontal="center"/>
    </xf>
    <xf numFmtId="0" fontId="5" fillId="35" borderId="0" xfId="0" applyFont="1" applyFill="1" applyAlignment="1">
      <alignment horizontal="center"/>
    </xf>
    <xf numFmtId="167" fontId="51" fillId="0" borderId="0" xfId="0" applyNumberFormat="1" applyFont="1"/>
    <xf numFmtId="167" fontId="5" fillId="35" borderId="0" xfId="0" applyNumberFormat="1" applyFont="1" applyFill="1" applyAlignment="1">
      <alignment horizontal="center"/>
    </xf>
    <xf numFmtId="0" fontId="57" fillId="0" borderId="0" xfId="0" applyNumberFormat="1" applyFont="1" applyAlignment="1">
      <alignment horizontal="center" vertical="center"/>
    </xf>
    <xf numFmtId="0" fontId="51" fillId="35" borderId="0" xfId="0" applyNumberFormat="1" applyFont="1" applyFill="1" applyAlignment="1">
      <alignment horizontal="center" vertical="center"/>
    </xf>
    <xf numFmtId="167" fontId="51" fillId="0" borderId="0" xfId="0" applyNumberFormat="1" applyFont="1" applyAlignment="1">
      <alignment horizontal="center" vertical="center"/>
    </xf>
    <xf numFmtId="0" fontId="34" fillId="0" borderId="0" xfId="0" applyFont="1" applyAlignment="1">
      <alignment vertical="center"/>
    </xf>
    <xf numFmtId="4" fontId="47" fillId="42" borderId="1" xfId="0" applyNumberFormat="1" applyFont="1" applyFill="1" applyBorder="1" applyAlignment="1">
      <alignment vertical="center" wrapText="1"/>
    </xf>
    <xf numFmtId="0" fontId="47" fillId="42" borderId="1" xfId="0" applyFont="1" applyFill="1" applyBorder="1" applyAlignment="1">
      <alignment vertical="center" wrapText="1"/>
    </xf>
    <xf numFmtId="0" fontId="7" fillId="2" borderId="0" xfId="0" applyFont="1" applyFill="1" applyBorder="1" applyAlignment="1">
      <alignment horizontal="center" vertical="center"/>
    </xf>
    <xf numFmtId="0" fontId="60" fillId="36" borderId="1" xfId="0" applyNumberFormat="1" applyFont="1" applyFill="1" applyBorder="1" applyAlignment="1">
      <alignment horizontal="center" vertical="center"/>
    </xf>
    <xf numFmtId="0" fontId="61" fillId="36" borderId="1" xfId="0" applyFont="1" applyFill="1" applyBorder="1" applyAlignment="1">
      <alignment horizontal="center" vertical="center" wrapText="1"/>
    </xf>
    <xf numFmtId="0" fontId="6" fillId="42" borderId="1" xfId="0" applyFont="1" applyFill="1" applyBorder="1" applyAlignment="1">
      <alignment horizontal="left" wrapText="1"/>
    </xf>
    <xf numFmtId="0" fontId="5" fillId="42" borderId="1" xfId="0" applyNumberFormat="1" applyFont="1" applyFill="1" applyBorder="1" applyAlignment="1">
      <alignment horizontal="center" vertical="center" wrapText="1"/>
    </xf>
    <xf numFmtId="0" fontId="8" fillId="42" borderId="1" xfId="0" applyFont="1" applyFill="1" applyBorder="1" applyAlignment="1">
      <alignment horizontal="center"/>
    </xf>
    <xf numFmtId="0" fontId="5" fillId="0" borderId="1" xfId="0" applyFont="1" applyFill="1" applyBorder="1" applyAlignment="1">
      <alignment horizontal="center" wrapText="1"/>
    </xf>
    <xf numFmtId="1" fontId="5" fillId="42" borderId="1" xfId="0" applyNumberFormat="1" applyFont="1" applyFill="1" applyBorder="1" applyAlignment="1">
      <alignment horizontal="center" vertical="center" wrapText="1"/>
    </xf>
    <xf numFmtId="167" fontId="8" fillId="42" borderId="1" xfId="0" applyNumberFormat="1" applyFont="1" applyFill="1" applyBorder="1" applyAlignment="1">
      <alignment horizontal="center" vertical="center" wrapText="1"/>
    </xf>
    <xf numFmtId="0" fontId="45" fillId="0" borderId="1" xfId="0" applyFont="1" applyFill="1" applyBorder="1" applyAlignment="1">
      <alignment horizontal="left" wrapText="1"/>
    </xf>
    <xf numFmtId="0" fontId="43" fillId="0" borderId="1" xfId="0" applyFont="1" applyFill="1" applyBorder="1" applyAlignment="1">
      <alignment horizontal="center" wrapText="1"/>
    </xf>
    <xf numFmtId="167" fontId="8" fillId="42" borderId="1" xfId="0" applyNumberFormat="1" applyFont="1" applyFill="1" applyBorder="1" applyAlignment="1">
      <alignment horizontal="center" wrapText="1"/>
    </xf>
    <xf numFmtId="1" fontId="8" fillId="42" borderId="1" xfId="0" applyNumberFormat="1" applyFont="1" applyFill="1" applyBorder="1" applyAlignment="1">
      <alignment horizontal="center" wrapText="1"/>
    </xf>
    <xf numFmtId="0" fontId="62" fillId="42" borderId="1" xfId="0" applyFont="1" applyFill="1" applyBorder="1" applyAlignment="1">
      <alignment horizontal="center"/>
    </xf>
    <xf numFmtId="1" fontId="8" fillId="42" borderId="1" xfId="0" applyNumberFormat="1" applyFont="1" applyFill="1" applyBorder="1" applyAlignment="1">
      <alignment horizontal="center" vertical="center" wrapText="1"/>
    </xf>
    <xf numFmtId="0" fontId="63" fillId="0" borderId="56" xfId="0" applyFont="1" applyBorder="1" applyAlignment="1">
      <alignment horizontal="left"/>
    </xf>
    <xf numFmtId="3" fontId="63" fillId="0" borderId="56" xfId="0" applyNumberFormat="1" applyFont="1" applyBorder="1" applyAlignment="1">
      <alignment horizontal="center" vertical="center"/>
    </xf>
    <xf numFmtId="0" fontId="64" fillId="0" borderId="56" xfId="0" applyFont="1" applyBorder="1"/>
    <xf numFmtId="0" fontId="63" fillId="0" borderId="56" xfId="0" applyFont="1" applyBorder="1" applyAlignment="1">
      <alignment horizontal="center"/>
    </xf>
    <xf numFmtId="0" fontId="65" fillId="0" borderId="0" xfId="0" applyFont="1" applyAlignment="1">
      <alignment vertical="center"/>
    </xf>
    <xf numFmtId="0" fontId="7" fillId="0" borderId="0" xfId="0" applyFont="1"/>
    <xf numFmtId="0" fontId="5" fillId="0" borderId="0" xfId="0" applyNumberFormat="1" applyFont="1" applyFill="1" applyAlignment="1">
      <alignment horizontal="center" vertical="center"/>
    </xf>
    <xf numFmtId="0" fontId="5" fillId="0" borderId="0" xfId="0" applyFont="1" applyAlignment="1">
      <alignment horizontal="left"/>
    </xf>
    <xf numFmtId="0" fontId="4" fillId="0" borderId="0" xfId="0" applyFont="1" applyBorder="1"/>
    <xf numFmtId="0" fontId="4" fillId="0" borderId="0" xfId="0" applyFont="1" applyFill="1" applyBorder="1"/>
    <xf numFmtId="0" fontId="4" fillId="0" borderId="0" xfId="0" applyFont="1" applyFill="1" applyBorder="1" applyAlignment="1">
      <alignment vertical="center"/>
    </xf>
    <xf numFmtId="0" fontId="4" fillId="0" borderId="0" xfId="0" applyFont="1" applyBorder="1" applyAlignment="1">
      <alignment vertical="center"/>
    </xf>
    <xf numFmtId="0" fontId="31" fillId="0" borderId="0" xfId="0" applyFont="1" applyBorder="1"/>
    <xf numFmtId="0" fontId="66" fillId="0" borderId="0" xfId="0" applyFont="1" applyAlignment="1">
      <alignment vertical="center"/>
    </xf>
    <xf numFmtId="0" fontId="67" fillId="0" borderId="0" xfId="0" applyNumberFormat="1" applyFont="1" applyAlignment="1">
      <alignment horizontal="center" vertical="top"/>
    </xf>
    <xf numFmtId="0" fontId="5" fillId="0" borderId="0" xfId="0" applyFont="1" applyAlignment="1">
      <alignment horizontal="center"/>
    </xf>
    <xf numFmtId="0" fontId="68" fillId="36" borderId="20" xfId="0" applyFont="1" applyFill="1" applyBorder="1" applyAlignment="1">
      <alignment horizontal="center" vertical="center"/>
    </xf>
    <xf numFmtId="0" fontId="68" fillId="36" borderId="20" xfId="0" applyNumberFormat="1" applyFont="1" applyFill="1" applyBorder="1" applyAlignment="1">
      <alignment horizontal="center" vertical="center"/>
    </xf>
    <xf numFmtId="0" fontId="69" fillId="36" borderId="20" xfId="0" applyFont="1" applyFill="1" applyBorder="1" applyAlignment="1">
      <alignment horizontal="center" vertical="center" wrapText="1"/>
    </xf>
    <xf numFmtId="0" fontId="6" fillId="42" borderId="64" xfId="0" applyFont="1" applyFill="1" applyBorder="1" applyAlignment="1">
      <alignment horizontal="left" vertical="top" wrapText="1"/>
    </xf>
    <xf numFmtId="0" fontId="7" fillId="42" borderId="64" xfId="0" applyFont="1" applyFill="1" applyBorder="1" applyAlignment="1">
      <alignment horizontal="center" vertical="center" wrapText="1"/>
    </xf>
    <xf numFmtId="0" fontId="5" fillId="42" borderId="64" xfId="0" applyNumberFormat="1" applyFont="1" applyFill="1" applyBorder="1" applyAlignment="1">
      <alignment horizontal="center" vertical="center" wrapText="1"/>
    </xf>
    <xf numFmtId="0" fontId="5" fillId="42" borderId="65" xfId="0" applyNumberFormat="1" applyFont="1" applyFill="1" applyBorder="1" applyAlignment="1">
      <alignment horizontal="center" vertical="center" wrapText="1"/>
    </xf>
    <xf numFmtId="0" fontId="5" fillId="42" borderId="66" xfId="0" applyNumberFormat="1" applyFont="1" applyFill="1" applyBorder="1" applyAlignment="1">
      <alignment horizontal="center" vertical="center" wrapText="1"/>
    </xf>
    <xf numFmtId="0" fontId="70" fillId="42" borderId="15" xfId="0" applyNumberFormat="1" applyFont="1" applyFill="1" applyBorder="1" applyAlignment="1">
      <alignment horizontal="center" vertical="top" wrapText="1"/>
    </xf>
    <xf numFmtId="0" fontId="8" fillId="42" borderId="65" xfId="0" applyFont="1" applyFill="1" applyBorder="1" applyAlignment="1">
      <alignment horizontal="center"/>
    </xf>
    <xf numFmtId="0" fontId="8" fillId="42" borderId="67" xfId="0" applyFont="1" applyFill="1" applyBorder="1" applyAlignment="1">
      <alignment horizontal="center"/>
    </xf>
    <xf numFmtId="0" fontId="7" fillId="0" borderId="68" xfId="0" applyFont="1" applyFill="1" applyBorder="1" applyAlignment="1">
      <alignment horizontal="left" vertical="top" wrapText="1"/>
    </xf>
    <xf numFmtId="0" fontId="5" fillId="0" borderId="68" xfId="0" applyFont="1" applyFill="1" applyBorder="1" applyAlignment="1">
      <alignment horizontal="center" vertical="top" wrapText="1"/>
    </xf>
    <xf numFmtId="0" fontId="5" fillId="0" borderId="69" xfId="0" applyFont="1" applyFill="1" applyBorder="1" applyAlignment="1">
      <alignment horizontal="center" vertical="top" wrapText="1"/>
    </xf>
    <xf numFmtId="0" fontId="5" fillId="0" borderId="70" xfId="0" applyFont="1" applyFill="1" applyBorder="1" applyAlignment="1">
      <alignment horizontal="center" vertical="top" wrapText="1"/>
    </xf>
    <xf numFmtId="0" fontId="5" fillId="0" borderId="17" xfId="0" applyFont="1" applyFill="1" applyBorder="1" applyAlignment="1">
      <alignment horizontal="center" vertical="top" wrapText="1"/>
    </xf>
    <xf numFmtId="0" fontId="5" fillId="0" borderId="49" xfId="0" applyFont="1" applyFill="1" applyBorder="1" applyAlignment="1">
      <alignment horizontal="center" vertical="top" wrapText="1"/>
    </xf>
    <xf numFmtId="0" fontId="7" fillId="42" borderId="68" xfId="0" applyFont="1" applyFill="1" applyBorder="1" applyAlignment="1">
      <alignment horizontal="left" vertical="top" wrapText="1"/>
    </xf>
    <xf numFmtId="0" fontId="5" fillId="42" borderId="68" xfId="0" applyFont="1" applyFill="1" applyBorder="1" applyAlignment="1">
      <alignment horizontal="center" vertical="top" wrapText="1"/>
    </xf>
    <xf numFmtId="0" fontId="5" fillId="42" borderId="69" xfId="0" applyFont="1" applyFill="1" applyBorder="1" applyAlignment="1">
      <alignment horizontal="center" vertical="top" wrapText="1"/>
    </xf>
    <xf numFmtId="0" fontId="5" fillId="42" borderId="70" xfId="0" applyFont="1" applyFill="1" applyBorder="1" applyAlignment="1">
      <alignment horizontal="center" vertical="top" wrapText="1"/>
    </xf>
    <xf numFmtId="0" fontId="5" fillId="42" borderId="17" xfId="0" applyFont="1" applyFill="1" applyBorder="1" applyAlignment="1">
      <alignment horizontal="center" vertical="top" wrapText="1"/>
    </xf>
    <xf numFmtId="0" fontId="5" fillId="42" borderId="49" xfId="0" applyFont="1" applyFill="1" applyBorder="1" applyAlignment="1">
      <alignment horizontal="center" vertical="top" wrapText="1"/>
    </xf>
    <xf numFmtId="1" fontId="5" fillId="0" borderId="1" xfId="0" applyNumberFormat="1" applyFont="1" applyFill="1" applyBorder="1" applyAlignment="1">
      <alignment horizontal="left" vertical="top"/>
    </xf>
    <xf numFmtId="0" fontId="5" fillId="0" borderId="71" xfId="0" applyFont="1" applyFill="1" applyBorder="1" applyAlignment="1">
      <alignment horizontal="center" vertical="top" wrapText="1"/>
    </xf>
    <xf numFmtId="0" fontId="5" fillId="0" borderId="34" xfId="0" applyFont="1" applyFill="1" applyBorder="1" applyAlignment="1">
      <alignment horizontal="center" vertical="top" wrapText="1"/>
    </xf>
    <xf numFmtId="0" fontId="5" fillId="0" borderId="72" xfId="0" applyFont="1" applyFill="1" applyBorder="1" applyAlignment="1">
      <alignment horizontal="center" vertical="top" wrapText="1"/>
    </xf>
    <xf numFmtId="0" fontId="63" fillId="0" borderId="73" xfId="0" applyFont="1" applyBorder="1" applyAlignment="1">
      <alignment horizontal="left" vertical="top"/>
    </xf>
    <xf numFmtId="3" fontId="29" fillId="0" borderId="74" xfId="0" applyNumberFormat="1" applyFont="1" applyBorder="1"/>
    <xf numFmtId="167" fontId="63" fillId="0" borderId="74" xfId="0" applyNumberFormat="1" applyFont="1" applyBorder="1" applyAlignment="1">
      <alignment horizontal="center" vertical="center"/>
    </xf>
    <xf numFmtId="0" fontId="5" fillId="0" borderId="74" xfId="0" applyFont="1" applyBorder="1" applyAlignment="1">
      <alignment horizontal="center"/>
    </xf>
    <xf numFmtId="0" fontId="71" fillId="0" borderId="0" xfId="0" applyFont="1"/>
    <xf numFmtId="1" fontId="7" fillId="0" borderId="1" xfId="0" applyNumberFormat="1" applyFont="1" applyFill="1" applyBorder="1" applyAlignment="1">
      <alignment horizontal="left" vertical="top" wrapText="1"/>
    </xf>
    <xf numFmtId="1" fontId="6" fillId="37" borderId="1" xfId="0" applyNumberFormat="1" applyFont="1" applyFill="1" applyBorder="1" applyAlignment="1">
      <alignment horizontal="left" vertical="top" wrapText="1"/>
    </xf>
    <xf numFmtId="1" fontId="6" fillId="35" borderId="1" xfId="0" applyNumberFormat="1" applyFont="1" applyFill="1" applyBorder="1" applyAlignment="1">
      <alignment horizontal="left" vertical="top" wrapText="1"/>
    </xf>
    <xf numFmtId="1" fontId="6" fillId="0" borderId="1" xfId="0" applyNumberFormat="1" applyFont="1" applyFill="1" applyBorder="1" applyAlignment="1">
      <alignment horizontal="left" vertical="top" wrapText="1"/>
    </xf>
    <xf numFmtId="166" fontId="7" fillId="0" borderId="1" xfId="28" applyNumberFormat="1" applyFont="1" applyFill="1" applyBorder="1" applyAlignment="1">
      <alignment horizontal="left" vertical="top" wrapText="1"/>
    </xf>
    <xf numFmtId="0" fontId="7" fillId="0" borderId="1" xfId="0" applyFont="1" applyFill="1" applyBorder="1" applyAlignment="1">
      <alignment horizontal="left" vertical="top" wrapText="1"/>
    </xf>
    <xf numFmtId="3" fontId="43" fillId="0" borderId="0" xfId="0" applyNumberFormat="1" applyFont="1" applyAlignment="1">
      <alignment wrapText="1"/>
    </xf>
    <xf numFmtId="1" fontId="5" fillId="0" borderId="0" xfId="0" applyNumberFormat="1" applyFont="1" applyBorder="1" applyAlignment="1">
      <alignment horizontal="left" vertical="top" wrapText="1"/>
    </xf>
    <xf numFmtId="2" fontId="5" fillId="0" borderId="0" xfId="0" applyNumberFormat="1" applyFont="1" applyAlignment="1">
      <alignment horizontal="center" vertical="center"/>
    </xf>
    <xf numFmtId="0" fontId="5" fillId="0" borderId="15" xfId="0" applyFont="1" applyBorder="1" applyAlignment="1">
      <alignment horizontal="left" vertical="top"/>
    </xf>
    <xf numFmtId="2" fontId="5" fillId="0" borderId="15" xfId="0" applyNumberFormat="1" applyFont="1" applyBorder="1" applyAlignment="1">
      <alignment horizontal="center" vertical="center"/>
    </xf>
    <xf numFmtId="0" fontId="8" fillId="0" borderId="0" xfId="0" applyFont="1" applyFill="1" applyAlignment="1">
      <alignment wrapText="1"/>
    </xf>
    <xf numFmtId="0" fontId="5" fillId="0" borderId="0" xfId="0" applyFont="1" applyBorder="1" applyAlignment="1">
      <alignment horizontal="left" vertical="top"/>
    </xf>
    <xf numFmtId="2" fontId="5" fillId="0" borderId="0" xfId="0" applyNumberFormat="1" applyFont="1" applyBorder="1" applyAlignment="1">
      <alignment horizontal="center" vertical="top"/>
    </xf>
    <xf numFmtId="3" fontId="0" fillId="40" borderId="1" xfId="0" applyNumberFormat="1" applyFont="1" applyFill="1" applyBorder="1" applyAlignment="1">
      <alignment horizontal="right" vertical="center"/>
    </xf>
    <xf numFmtId="0" fontId="0" fillId="40" borderId="0" xfId="0" applyFill="1"/>
    <xf numFmtId="3" fontId="14" fillId="0" borderId="0" xfId="0" applyNumberFormat="1" applyFont="1" applyFill="1" applyBorder="1" applyAlignment="1"/>
    <xf numFmtId="0" fontId="14" fillId="0" borderId="0" xfId="0" applyFont="1" applyFill="1" applyBorder="1" applyAlignment="1"/>
    <xf numFmtId="0" fontId="0" fillId="0" borderId="0" xfId="0" applyFill="1" applyBorder="1"/>
    <xf numFmtId="0" fontId="0" fillId="0" borderId="0" xfId="0" applyFill="1" applyAlignment="1"/>
    <xf numFmtId="0" fontId="31" fillId="0" borderId="1" xfId="0" applyFont="1" applyBorder="1" applyAlignment="1">
      <alignment horizontal="left" vertical="top" wrapText="1"/>
    </xf>
    <xf numFmtId="0" fontId="5" fillId="42" borderId="3" xfId="0" applyNumberFormat="1" applyFont="1" applyFill="1" applyBorder="1" applyAlignment="1">
      <alignment horizontal="center" vertical="center" wrapText="1"/>
    </xf>
    <xf numFmtId="167" fontId="5" fillId="42" borderId="1" xfId="0" applyNumberFormat="1" applyFont="1" applyFill="1" applyBorder="1" applyAlignment="1">
      <alignment horizontal="center" vertical="center" wrapText="1"/>
    </xf>
    <xf numFmtId="0" fontId="7" fillId="42" borderId="3" xfId="0" applyFont="1" applyFill="1" applyBorder="1" applyAlignment="1">
      <alignment horizontal="left" vertical="top" wrapText="1"/>
    </xf>
    <xf numFmtId="0" fontId="7" fillId="42" borderId="3" xfId="0" applyNumberFormat="1" applyFont="1" applyFill="1" applyBorder="1" applyAlignment="1">
      <alignment horizontal="left" vertical="top" wrapText="1"/>
    </xf>
    <xf numFmtId="0" fontId="5" fillId="42" borderId="3" xfId="0" applyFont="1" applyFill="1" applyBorder="1" applyAlignment="1">
      <alignment horizontal="center"/>
    </xf>
    <xf numFmtId="0" fontId="7" fillId="42" borderId="1" xfId="0" applyFont="1" applyFill="1" applyBorder="1" applyAlignment="1">
      <alignment horizontal="left" vertical="center" wrapText="1"/>
    </xf>
    <xf numFmtId="1" fontId="5" fillId="42" borderId="1" xfId="0" applyNumberFormat="1" applyFont="1" applyFill="1" applyBorder="1" applyAlignment="1">
      <alignment horizontal="left" wrapText="1"/>
    </xf>
    <xf numFmtId="0" fontId="57" fillId="0" borderId="1" xfId="0" applyFont="1" applyFill="1" applyBorder="1" applyAlignment="1">
      <alignment horizontal="left" vertical="center" wrapText="1"/>
    </xf>
    <xf numFmtId="1" fontId="5" fillId="44" borderId="1" xfId="0" applyNumberFormat="1" applyFont="1" applyFill="1" applyBorder="1" applyAlignment="1">
      <alignment horizontal="center" vertical="center" wrapText="1"/>
    </xf>
    <xf numFmtId="1" fontId="7" fillId="44" borderId="1" xfId="0" applyNumberFormat="1" applyFont="1" applyFill="1" applyBorder="1" applyAlignment="1">
      <alignment horizontal="left" vertical="top" wrapText="1"/>
    </xf>
    <xf numFmtId="0" fontId="7" fillId="44" borderId="2" xfId="0" applyFont="1" applyFill="1" applyBorder="1" applyAlignment="1">
      <alignment horizontal="left" vertical="top"/>
    </xf>
    <xf numFmtId="2" fontId="5" fillId="44" borderId="2" xfId="0" applyNumberFormat="1" applyFont="1" applyFill="1" applyBorder="1" applyAlignment="1">
      <alignment horizontal="center" vertical="center" wrapText="1"/>
    </xf>
    <xf numFmtId="2" fontId="5" fillId="44" borderId="2" xfId="0" applyNumberFormat="1" applyFont="1" applyFill="1" applyBorder="1" applyAlignment="1">
      <alignment vertical="center" wrapText="1"/>
    </xf>
    <xf numFmtId="2" fontId="5" fillId="44" borderId="2" xfId="0" applyNumberFormat="1" applyFont="1" applyFill="1" applyBorder="1" applyAlignment="1">
      <alignment vertical="center"/>
    </xf>
    <xf numFmtId="167" fontId="5" fillId="44" borderId="1" xfId="0" applyNumberFormat="1" applyFont="1" applyFill="1" applyBorder="1" applyAlignment="1">
      <alignment horizontal="center" vertical="center" wrapText="1"/>
    </xf>
    <xf numFmtId="1" fontId="52" fillId="0" borderId="1" xfId="0" applyNumberFormat="1" applyFont="1" applyFill="1" applyBorder="1" applyAlignment="1">
      <alignment horizontal="center" vertical="center"/>
    </xf>
    <xf numFmtId="0" fontId="72" fillId="2" borderId="19" xfId="0" applyFont="1" applyFill="1" applyBorder="1" applyAlignment="1">
      <alignment horizontal="center" vertical="center"/>
    </xf>
    <xf numFmtId="0" fontId="72" fillId="2" borderId="23" xfId="0" applyFont="1" applyFill="1" applyBorder="1" applyAlignment="1">
      <alignment horizontal="center" vertical="center"/>
    </xf>
    <xf numFmtId="0" fontId="72" fillId="2" borderId="21" xfId="0" applyNumberFormat="1" applyFont="1" applyFill="1" applyBorder="1" applyAlignment="1">
      <alignment horizontal="center" vertical="center"/>
    </xf>
    <xf numFmtId="1" fontId="5" fillId="40" borderId="1" xfId="0" applyNumberFormat="1" applyFont="1" applyFill="1" applyBorder="1" applyAlignment="1">
      <alignment horizontal="left" wrapText="1"/>
    </xf>
    <xf numFmtId="1" fontId="52" fillId="44" borderId="23" xfId="0" applyNumberFormat="1" applyFont="1" applyFill="1" applyBorder="1" applyAlignment="1">
      <alignment horizontal="center" vertical="center" wrapText="1"/>
    </xf>
    <xf numFmtId="1" fontId="52" fillId="37" borderId="20" xfId="0" applyNumberFormat="1" applyFont="1" applyFill="1" applyBorder="1" applyAlignment="1">
      <alignment horizontal="center" vertical="center" wrapText="1"/>
    </xf>
    <xf numFmtId="1" fontId="52" fillId="37" borderId="20" xfId="0" applyNumberFormat="1" applyFont="1" applyFill="1" applyBorder="1" applyAlignment="1">
      <alignment horizontal="center" vertical="center"/>
    </xf>
    <xf numFmtId="1" fontId="52" fillId="37" borderId="21" xfId="0" applyNumberFormat="1" applyFont="1" applyFill="1" applyBorder="1" applyAlignment="1">
      <alignment horizontal="center" vertical="center" wrapText="1"/>
    </xf>
    <xf numFmtId="1" fontId="52" fillId="37" borderId="18" xfId="0" applyNumberFormat="1" applyFont="1" applyFill="1" applyBorder="1" applyAlignment="1">
      <alignment horizontal="left" wrapText="1"/>
    </xf>
    <xf numFmtId="167" fontId="52" fillId="37" borderId="1" xfId="0" applyNumberFormat="1" applyFont="1" applyFill="1" applyBorder="1" applyAlignment="1">
      <alignment horizontal="center" vertical="center" wrapText="1"/>
    </xf>
    <xf numFmtId="1" fontId="52" fillId="37" borderId="1" xfId="0" applyNumberFormat="1" applyFont="1" applyFill="1" applyBorder="1" applyAlignment="1">
      <alignment horizontal="center" vertical="center" wrapText="1"/>
    </xf>
    <xf numFmtId="0" fontId="52" fillId="0" borderId="0" xfId="0" applyFont="1" applyFill="1"/>
    <xf numFmtId="0" fontId="7" fillId="0" borderId="22" xfId="0" applyFont="1" applyFill="1" applyBorder="1" applyAlignment="1">
      <alignment horizontal="left" vertical="center" wrapText="1"/>
    </xf>
    <xf numFmtId="0" fontId="7" fillId="0" borderId="76" xfId="0" applyFont="1" applyFill="1" applyBorder="1" applyAlignment="1">
      <alignment horizontal="left" vertical="top" wrapText="1"/>
    </xf>
    <xf numFmtId="0" fontId="5" fillId="0" borderId="76" xfId="0" applyFont="1" applyFill="1" applyBorder="1" applyAlignment="1">
      <alignment horizontal="center" vertical="top" wrapText="1"/>
    </xf>
    <xf numFmtId="0" fontId="5" fillId="0" borderId="77" xfId="0" applyFont="1" applyFill="1" applyBorder="1" applyAlignment="1">
      <alignment horizontal="center" vertical="top" wrapText="1"/>
    </xf>
    <xf numFmtId="0" fontId="5" fillId="0" borderId="78" xfId="0" applyFont="1" applyFill="1" applyBorder="1" applyAlignment="1">
      <alignment horizontal="center" vertical="top" wrapText="1"/>
    </xf>
    <xf numFmtId="0" fontId="5" fillId="0" borderId="79" xfId="0" applyFont="1" applyFill="1" applyBorder="1" applyAlignment="1">
      <alignment horizontal="center" vertical="top" wrapText="1"/>
    </xf>
    <xf numFmtId="0" fontId="5" fillId="0" borderId="80" xfId="0" applyFont="1" applyFill="1" applyBorder="1" applyAlignment="1">
      <alignment horizontal="center" vertical="top" wrapText="1"/>
    </xf>
    <xf numFmtId="0" fontId="5" fillId="0" borderId="81" xfId="0" applyFont="1" applyBorder="1" applyAlignment="1">
      <alignment horizontal="center"/>
    </xf>
    <xf numFmtId="0" fontId="7" fillId="35" borderId="20" xfId="0" applyFont="1" applyFill="1" applyBorder="1" applyAlignment="1">
      <alignment horizontal="left" vertical="top" wrapText="1"/>
    </xf>
    <xf numFmtId="0" fontId="5" fillId="35" borderId="20" xfId="0" applyFont="1" applyFill="1" applyBorder="1" applyAlignment="1">
      <alignment horizontal="center" vertical="top" wrapText="1"/>
    </xf>
    <xf numFmtId="3" fontId="5" fillId="0" borderId="6" xfId="0" applyNumberFormat="1" applyFont="1" applyFill="1" applyBorder="1" applyAlignment="1">
      <alignment horizontal="center" vertical="center" wrapText="1"/>
    </xf>
    <xf numFmtId="0" fontId="0" fillId="0" borderId="56" xfId="0" applyFont="1" applyBorder="1"/>
    <xf numFmtId="3" fontId="0" fillId="0" borderId="56" xfId="0" applyNumberFormat="1" applyFont="1" applyBorder="1" applyAlignment="1">
      <alignment horizontal="right" vertical="center"/>
    </xf>
    <xf numFmtId="9" fontId="0" fillId="0" borderId="1" xfId="0" applyNumberFormat="1" applyBorder="1"/>
    <xf numFmtId="0" fontId="29" fillId="0" borderId="1" xfId="0" applyFont="1" applyBorder="1"/>
    <xf numFmtId="0" fontId="29" fillId="0" borderId="1" xfId="0" applyFont="1" applyBorder="1" applyAlignment="1">
      <alignment horizontal="center" vertical="center"/>
    </xf>
    <xf numFmtId="0" fontId="29" fillId="0" borderId="1" xfId="0" applyFont="1" applyBorder="1" applyAlignment="1">
      <alignment horizontal="center" vertical="center" wrapText="1"/>
    </xf>
    <xf numFmtId="0" fontId="0" fillId="0" borderId="0" xfId="0" applyAlignment="1">
      <alignment horizontal="left" vertical="top"/>
    </xf>
    <xf numFmtId="0" fontId="0" fillId="0" borderId="0" xfId="0" applyAlignment="1">
      <alignment horizontal="center"/>
    </xf>
    <xf numFmtId="3" fontId="0" fillId="0" borderId="0" xfId="0" applyNumberFormat="1" applyAlignment="1">
      <alignment horizontal="center"/>
    </xf>
    <xf numFmtId="3" fontId="0" fillId="0" borderId="15" xfId="0" applyNumberFormat="1" applyBorder="1" applyAlignment="1">
      <alignment horizontal="center"/>
    </xf>
    <xf numFmtId="3" fontId="29" fillId="0" borderId="79" xfId="0" applyNumberFormat="1" applyFont="1" applyBorder="1" applyAlignment="1">
      <alignment horizontal="center"/>
    </xf>
    <xf numFmtId="3" fontId="29" fillId="0" borderId="0" xfId="0" applyNumberFormat="1" applyFont="1" applyAlignment="1">
      <alignment horizontal="center"/>
    </xf>
    <xf numFmtId="0" fontId="29" fillId="0" borderId="0" xfId="0" applyFont="1" applyAlignment="1">
      <alignment horizontal="center"/>
    </xf>
    <xf numFmtId="0" fontId="73" fillId="0" borderId="1" xfId="0" applyFont="1" applyBorder="1" applyAlignment="1">
      <alignment horizontal="center" vertical="center" wrapText="1"/>
    </xf>
    <xf numFmtId="3" fontId="73" fillId="0" borderId="1" xfId="0" applyNumberFormat="1" applyFont="1" applyBorder="1" applyAlignment="1">
      <alignment horizontal="center" vertical="center" wrapText="1"/>
    </xf>
    <xf numFmtId="3" fontId="73" fillId="0" borderId="1" xfId="0" applyNumberFormat="1" applyFont="1" applyBorder="1" applyAlignment="1">
      <alignment horizontal="center" vertical="center" textRotation="90" wrapText="1"/>
    </xf>
    <xf numFmtId="0" fontId="73" fillId="0" borderId="1" xfId="0" applyFont="1" applyBorder="1" applyAlignment="1">
      <alignment horizontal="center" vertical="center" textRotation="90" wrapText="1"/>
    </xf>
    <xf numFmtId="0" fontId="5" fillId="2" borderId="1" xfId="0" applyFont="1" applyFill="1" applyBorder="1" applyAlignment="1">
      <alignment horizontal="center" vertical="center"/>
    </xf>
    <xf numFmtId="0" fontId="75" fillId="0" borderId="1" xfId="0" applyFont="1" applyFill="1" applyBorder="1" applyAlignment="1">
      <alignment horizontal="center" vertical="center" wrapText="1"/>
    </xf>
    <xf numFmtId="0" fontId="76" fillId="0" borderId="1" xfId="61" applyFont="1" applyFill="1" applyBorder="1" applyAlignment="1">
      <alignment horizontal="center" vertical="top"/>
    </xf>
    <xf numFmtId="0" fontId="76" fillId="0" borderId="1" xfId="62" applyFont="1" applyFill="1" applyBorder="1" applyAlignment="1">
      <alignment horizontal="center" vertical="top"/>
    </xf>
    <xf numFmtId="0" fontId="76" fillId="0" borderId="1" xfId="61" applyNumberFormat="1" applyFont="1" applyFill="1" applyBorder="1" applyAlignment="1">
      <alignment horizontal="center" vertical="top"/>
    </xf>
    <xf numFmtId="0" fontId="75" fillId="0" borderId="1" xfId="0" applyNumberFormat="1" applyFont="1" applyFill="1" applyBorder="1" applyAlignment="1">
      <alignment horizontal="center" vertical="top"/>
    </xf>
    <xf numFmtId="0" fontId="75" fillId="0" borderId="1" xfId="0" applyFont="1" applyFill="1" applyBorder="1" applyAlignment="1">
      <alignment horizontal="center" vertical="top"/>
    </xf>
    <xf numFmtId="0" fontId="76" fillId="0" borderId="1" xfId="62" applyNumberFormat="1" applyFont="1" applyFill="1" applyBorder="1" applyAlignment="1">
      <alignment horizontal="center"/>
    </xf>
    <xf numFmtId="0" fontId="76" fillId="0" borderId="1" xfId="62" applyFont="1" applyFill="1" applyBorder="1" applyAlignment="1">
      <alignment horizontal="center"/>
    </xf>
    <xf numFmtId="3" fontId="0" fillId="0" borderId="1" xfId="0" applyNumberFormat="1" applyFont="1" applyFill="1" applyBorder="1" applyAlignment="1">
      <alignment horizontal="center" vertical="center"/>
    </xf>
    <xf numFmtId="0" fontId="0" fillId="0" borderId="1" xfId="0" applyFont="1" applyFill="1" applyBorder="1" applyAlignment="1">
      <alignment horizontal="center"/>
    </xf>
    <xf numFmtId="0" fontId="0" fillId="0" borderId="1" xfId="0" applyFont="1" applyBorder="1" applyAlignment="1">
      <alignment horizontal="center"/>
    </xf>
    <xf numFmtId="0" fontId="31" fillId="0" borderId="1" xfId="0" applyFont="1" applyBorder="1" applyAlignment="1">
      <alignment horizontal="center"/>
    </xf>
    <xf numFmtId="0" fontId="77" fillId="0" borderId="1" xfId="0" applyFont="1" applyFill="1" applyBorder="1" applyAlignment="1">
      <alignment horizontal="center" vertical="center" wrapText="1"/>
    </xf>
    <xf numFmtId="0" fontId="78" fillId="0" borderId="1" xfId="61" applyFont="1" applyFill="1" applyBorder="1" applyAlignment="1">
      <alignment horizontal="center" vertical="top"/>
    </xf>
    <xf numFmtId="0" fontId="78" fillId="0" borderId="1" xfId="62" applyFont="1" applyFill="1" applyBorder="1" applyAlignment="1">
      <alignment horizontal="center" vertical="top"/>
    </xf>
    <xf numFmtId="0" fontId="78" fillId="0" borderId="1" xfId="61" applyNumberFormat="1" applyFont="1" applyFill="1" applyBorder="1" applyAlignment="1">
      <alignment horizontal="center" vertical="top"/>
    </xf>
    <xf numFmtId="0" fontId="77" fillId="0" borderId="1" xfId="0" applyNumberFormat="1" applyFont="1" applyFill="1" applyBorder="1" applyAlignment="1">
      <alignment horizontal="center" vertical="top"/>
    </xf>
    <xf numFmtId="0" fontId="77" fillId="0" borderId="1" xfId="0" applyFont="1" applyFill="1" applyBorder="1" applyAlignment="1">
      <alignment horizontal="center" vertical="top"/>
    </xf>
    <xf numFmtId="0" fontId="78" fillId="0" borderId="1" xfId="62" applyNumberFormat="1" applyFont="1" applyFill="1" applyBorder="1" applyAlignment="1">
      <alignment horizontal="center"/>
    </xf>
    <xf numFmtId="0" fontId="78" fillId="0" borderId="1" xfId="62" applyFont="1" applyFill="1" applyBorder="1" applyAlignment="1">
      <alignment horizontal="center"/>
    </xf>
    <xf numFmtId="0" fontId="78" fillId="0" borderId="0" xfId="0" applyFont="1"/>
    <xf numFmtId="0" fontId="73" fillId="0" borderId="1" xfId="0" applyFont="1" applyFill="1" applyBorder="1" applyAlignment="1">
      <alignment horizontal="center" vertical="center"/>
    </xf>
    <xf numFmtId="0" fontId="79" fillId="0" borderId="0" xfId="0" applyFont="1"/>
    <xf numFmtId="2" fontId="73" fillId="45" borderId="1" xfId="0" applyNumberFormat="1" applyFont="1" applyFill="1" applyBorder="1" applyAlignment="1">
      <alignment horizontal="center" vertical="center"/>
    </xf>
    <xf numFmtId="0" fontId="77" fillId="0" borderId="1" xfId="0" applyFont="1" applyFill="1" applyBorder="1" applyAlignment="1">
      <alignment horizontal="center" vertical="center"/>
    </xf>
    <xf numFmtId="2" fontId="78" fillId="0" borderId="1" xfId="0" applyNumberFormat="1" applyFont="1" applyFill="1" applyBorder="1" applyAlignment="1">
      <alignment vertical="center"/>
    </xf>
    <xf numFmtId="0" fontId="78" fillId="0" borderId="1" xfId="0" applyNumberFormat="1" applyFont="1" applyFill="1" applyBorder="1" applyAlignment="1">
      <alignment vertical="center"/>
    </xf>
    <xf numFmtId="0" fontId="77" fillId="0" borderId="1" xfId="0" applyNumberFormat="1" applyFont="1" applyFill="1" applyBorder="1" applyAlignment="1">
      <alignment horizontal="center" vertical="center"/>
    </xf>
    <xf numFmtId="0" fontId="78" fillId="0" borderId="1" xfId="0" applyNumberFormat="1" applyFont="1" applyFill="1" applyBorder="1" applyAlignment="1">
      <alignment horizontal="right" vertical="center"/>
    </xf>
    <xf numFmtId="0" fontId="78" fillId="0" borderId="1" xfId="0" applyNumberFormat="1" applyFont="1" applyFill="1" applyBorder="1" applyAlignment="1">
      <alignment horizontal="center" vertical="center"/>
    </xf>
    <xf numFmtId="0" fontId="78" fillId="0" borderId="1" xfId="62" applyFont="1" applyFill="1" applyBorder="1" applyAlignment="1">
      <alignment horizontal="right" vertical="center"/>
    </xf>
    <xf numFmtId="0" fontId="78" fillId="0" borderId="1" xfId="62" applyFont="1" applyFill="1" applyBorder="1" applyAlignment="1">
      <alignment horizontal="left" vertical="center"/>
    </xf>
    <xf numFmtId="0" fontId="78" fillId="0" borderId="1" xfId="62" applyFont="1" applyFill="1" applyBorder="1" applyAlignment="1">
      <alignment horizontal="center" vertical="center"/>
    </xf>
    <xf numFmtId="2" fontId="78" fillId="0" borderId="1" xfId="0" applyNumberFormat="1" applyFont="1" applyFill="1" applyBorder="1" applyAlignment="1">
      <alignment horizontal="right" vertical="center"/>
    </xf>
    <xf numFmtId="2" fontId="78" fillId="0" borderId="1" xfId="48" applyNumberFormat="1" applyFont="1" applyFill="1" applyBorder="1" applyAlignment="1">
      <alignment horizontal="right" vertical="center"/>
    </xf>
    <xf numFmtId="0" fontId="77" fillId="0" borderId="1" xfId="0" applyFont="1" applyFill="1" applyBorder="1" applyAlignment="1">
      <alignment horizontal="right" vertical="center"/>
    </xf>
    <xf numFmtId="0" fontId="77" fillId="0" borderId="1" xfId="0" applyFont="1" applyFill="1" applyBorder="1" applyAlignment="1">
      <alignment vertical="center"/>
    </xf>
    <xf numFmtId="2" fontId="77" fillId="0" borderId="1" xfId="0" applyNumberFormat="1" applyFont="1" applyFill="1" applyBorder="1" applyAlignment="1">
      <alignment vertical="center"/>
    </xf>
    <xf numFmtId="3" fontId="78" fillId="0" borderId="1" xfId="0" applyNumberFormat="1" applyFont="1" applyFill="1" applyBorder="1" applyAlignment="1">
      <alignment horizontal="center" vertical="center"/>
    </xf>
    <xf numFmtId="0" fontId="78" fillId="0" borderId="1" xfId="0" applyFont="1" applyFill="1" applyBorder="1" applyAlignment="1">
      <alignment horizontal="left" vertical="center"/>
    </xf>
    <xf numFmtId="0" fontId="78" fillId="0" borderId="1" xfId="0" applyFont="1" applyFill="1" applyBorder="1" applyAlignment="1">
      <alignment horizontal="center"/>
    </xf>
    <xf numFmtId="0" fontId="78" fillId="0" borderId="1" xfId="0" applyFont="1" applyBorder="1" applyAlignment="1">
      <alignment horizontal="center"/>
    </xf>
    <xf numFmtId="0" fontId="77" fillId="0" borderId="1" xfId="0" applyFont="1" applyBorder="1" applyAlignment="1">
      <alignment horizontal="center"/>
    </xf>
    <xf numFmtId="0" fontId="78" fillId="0" borderId="0" xfId="0" applyFont="1" applyAlignment="1">
      <alignment wrapText="1"/>
    </xf>
    <xf numFmtId="0" fontId="78" fillId="0" borderId="0" xfId="0" applyFont="1" applyAlignment="1">
      <alignment horizontal="center" vertical="top"/>
    </xf>
    <xf numFmtId="2" fontId="73" fillId="45" borderId="1" xfId="0" applyNumberFormat="1" applyFont="1" applyFill="1" applyBorder="1" applyAlignment="1">
      <alignment horizontal="center" vertical="center" wrapText="1"/>
    </xf>
    <xf numFmtId="0" fontId="78" fillId="0" borderId="0" xfId="0" applyFont="1" applyAlignment="1">
      <alignment horizontal="center" vertical="center"/>
    </xf>
    <xf numFmtId="4" fontId="78" fillId="0" borderId="1" xfId="0" applyNumberFormat="1" applyFont="1" applyFill="1" applyBorder="1" applyAlignment="1">
      <alignment horizontal="center" vertical="center" wrapText="1"/>
    </xf>
    <xf numFmtId="0" fontId="79" fillId="0" borderId="0" xfId="0" applyFont="1" applyAlignment="1">
      <alignment horizontal="center" vertical="center"/>
    </xf>
    <xf numFmtId="4" fontId="78" fillId="0" borderId="1" xfId="0" applyNumberFormat="1" applyFont="1" applyFill="1" applyBorder="1" applyAlignment="1">
      <alignment horizontal="center" vertical="center"/>
    </xf>
    <xf numFmtId="2" fontId="78" fillId="40" borderId="1" xfId="0" applyNumberFormat="1" applyFont="1" applyFill="1" applyBorder="1" applyAlignment="1">
      <alignment vertical="center"/>
    </xf>
    <xf numFmtId="0" fontId="60" fillId="36" borderId="2" xfId="0" applyNumberFormat="1" applyFont="1" applyFill="1" applyBorder="1" applyAlignment="1">
      <alignment horizontal="center" vertical="center"/>
    </xf>
    <xf numFmtId="0" fontId="61" fillId="36" borderId="2" xfId="0" applyFont="1" applyFill="1" applyBorder="1" applyAlignment="1">
      <alignment horizontal="center" vertical="center" wrapText="1"/>
    </xf>
    <xf numFmtId="0" fontId="31" fillId="0" borderId="1" xfId="0" applyFont="1" applyBorder="1"/>
    <xf numFmtId="0" fontId="5" fillId="0" borderId="1" xfId="0" applyFont="1" applyFill="1" applyBorder="1" applyAlignment="1">
      <alignment horizontal="center" vertical="top" wrapText="1"/>
    </xf>
    <xf numFmtId="0" fontId="7" fillId="42" borderId="1" xfId="0" applyFont="1" applyFill="1" applyBorder="1" applyAlignment="1">
      <alignment horizontal="left" vertical="top" wrapText="1"/>
    </xf>
    <xf numFmtId="0" fontId="5" fillId="42" borderId="1" xfId="0" applyFont="1" applyFill="1" applyBorder="1" applyAlignment="1">
      <alignment horizontal="center" vertical="top" wrapText="1"/>
    </xf>
    <xf numFmtId="0" fontId="7" fillId="0" borderId="1" xfId="0" applyFont="1" applyFill="1" applyBorder="1" applyAlignment="1">
      <alignment horizontal="left" wrapText="1" indent="1"/>
    </xf>
    <xf numFmtId="0" fontId="7" fillId="0" borderId="1" xfId="0" applyFont="1" applyFill="1" applyBorder="1" applyAlignment="1">
      <alignment horizontal="left" vertical="top" wrapText="1" indent="1"/>
    </xf>
    <xf numFmtId="0" fontId="45" fillId="0" borderId="1" xfId="0" applyFont="1" applyFill="1" applyBorder="1" applyAlignment="1">
      <alignment horizontal="left" wrapText="1" indent="1"/>
    </xf>
    <xf numFmtId="0" fontId="3" fillId="0" borderId="1" xfId="0" applyFont="1" applyFill="1" applyBorder="1" applyAlignment="1">
      <alignment horizontal="left" vertical="top" wrapText="1" indent="1"/>
    </xf>
    <xf numFmtId="0" fontId="61" fillId="36" borderId="17" xfId="0" applyNumberFormat="1" applyFont="1" applyFill="1" applyBorder="1" applyAlignment="1">
      <alignment horizontal="center" vertical="center" wrapText="1"/>
    </xf>
    <xf numFmtId="0" fontId="8" fillId="42" borderId="1" xfId="0" applyNumberFormat="1" applyFont="1" applyFill="1" applyBorder="1" applyAlignment="1">
      <alignment horizontal="center" vertical="center" wrapText="1"/>
    </xf>
    <xf numFmtId="0" fontId="61" fillId="36" borderId="2" xfId="0" applyNumberFormat="1" applyFont="1" applyFill="1" applyBorder="1" applyAlignment="1">
      <alignment horizontal="center" vertical="center" wrapText="1"/>
    </xf>
    <xf numFmtId="0" fontId="80" fillId="0" borderId="1" xfId="0" applyFont="1" applyFill="1" applyBorder="1" applyAlignment="1">
      <alignment horizontal="center" vertical="center" wrapText="1"/>
    </xf>
    <xf numFmtId="0" fontId="8" fillId="42" borderId="1" xfId="0" applyFont="1" applyFill="1" applyBorder="1" applyAlignment="1">
      <alignment horizontal="center" vertical="center" wrapText="1"/>
    </xf>
    <xf numFmtId="0" fontId="80" fillId="0" borderId="0" xfId="0" applyFont="1" applyAlignment="1">
      <alignment horizontal="center" vertical="center" wrapText="1"/>
    </xf>
    <xf numFmtId="0" fontId="80" fillId="0" borderId="0" xfId="0" applyFont="1" applyBorder="1" applyAlignment="1">
      <alignment horizontal="center" vertical="center" wrapText="1"/>
    </xf>
    <xf numFmtId="0" fontId="6" fillId="42" borderId="3" xfId="0" applyNumberFormat="1" applyFont="1" applyFill="1" applyBorder="1" applyAlignment="1">
      <alignment horizontal="center" vertical="center" wrapText="1"/>
    </xf>
    <xf numFmtId="166" fontId="8" fillId="0" borderId="1" xfId="28" applyNumberFormat="1" applyFont="1" applyFill="1" applyBorder="1" applyAlignment="1">
      <alignment horizontal="center" vertical="center" wrapText="1"/>
    </xf>
    <xf numFmtId="0" fontId="54" fillId="0" borderId="1" xfId="0" applyFont="1" applyFill="1" applyBorder="1" applyAlignment="1">
      <alignment horizontal="left" vertical="center" wrapText="1"/>
    </xf>
    <xf numFmtId="1" fontId="3" fillId="0" borderId="1" xfId="0" applyNumberFormat="1" applyFont="1" applyFill="1" applyBorder="1" applyAlignment="1">
      <alignment horizontal="center" vertical="center" wrapText="1"/>
    </xf>
    <xf numFmtId="1" fontId="3" fillId="0" borderId="1" xfId="0" quotePrefix="1" applyNumberFormat="1" applyFont="1" applyFill="1" applyBorder="1" applyAlignment="1">
      <alignment horizontal="center" vertical="center"/>
    </xf>
    <xf numFmtId="1" fontId="81" fillId="0" borderId="1" xfId="0" applyNumberFormat="1" applyFont="1" applyFill="1" applyBorder="1" applyAlignment="1">
      <alignment horizontal="center" vertical="center" wrapText="1"/>
    </xf>
    <xf numFmtId="167" fontId="3" fillId="0" borderId="1" xfId="0" applyNumberFormat="1" applyFont="1" applyFill="1" applyBorder="1" applyAlignment="1">
      <alignment horizontal="center" vertical="center" wrapText="1"/>
    </xf>
    <xf numFmtId="0" fontId="3" fillId="35" borderId="0" xfId="0" applyFont="1" applyFill="1"/>
    <xf numFmtId="0" fontId="82" fillId="0" borderId="0" xfId="0" applyFont="1" applyFill="1"/>
    <xf numFmtId="0" fontId="77" fillId="40" borderId="1" xfId="0" applyFont="1" applyFill="1" applyBorder="1" applyAlignment="1">
      <alignment vertical="center"/>
    </xf>
    <xf numFmtId="2" fontId="77" fillId="40" borderId="1" xfId="0" applyNumberFormat="1" applyFont="1" applyFill="1" applyBorder="1" applyAlignment="1">
      <alignment vertical="center"/>
    </xf>
    <xf numFmtId="0" fontId="77" fillId="40" borderId="1" xfId="0" applyFont="1" applyFill="1" applyBorder="1" applyAlignment="1">
      <alignment horizontal="center" vertical="center"/>
    </xf>
    <xf numFmtId="0" fontId="77" fillId="40" borderId="1" xfId="0" applyNumberFormat="1" applyFont="1" applyFill="1" applyBorder="1" applyAlignment="1">
      <alignment horizontal="center" vertical="top"/>
    </xf>
    <xf numFmtId="0" fontId="78" fillId="40" borderId="1" xfId="0" applyNumberFormat="1" applyFont="1" applyFill="1" applyBorder="1" applyAlignment="1">
      <alignment vertical="center"/>
    </xf>
    <xf numFmtId="0" fontId="78" fillId="0" borderId="4" xfId="0" applyFont="1" applyBorder="1"/>
    <xf numFmtId="0" fontId="77" fillId="40" borderId="1" xfId="0" applyFont="1" applyFill="1" applyBorder="1" applyAlignment="1">
      <alignment horizontal="right" vertical="center"/>
    </xf>
    <xf numFmtId="0" fontId="78" fillId="0" borderId="3" xfId="0" applyFont="1" applyBorder="1"/>
    <xf numFmtId="0" fontId="0" fillId="0" borderId="0" xfId="0"/>
    <xf numFmtId="0" fontId="0" fillId="0" borderId="0" xfId="0"/>
    <xf numFmtId="0" fontId="77" fillId="0" borderId="1" xfId="0" applyFont="1" applyFill="1" applyBorder="1" applyAlignment="1">
      <alignment vertical="center"/>
    </xf>
    <xf numFmtId="0" fontId="0" fillId="0" borderId="0" xfId="0"/>
    <xf numFmtId="0" fontId="0" fillId="0" borderId="0" xfId="0"/>
    <xf numFmtId="0" fontId="77" fillId="0" borderId="1" xfId="0" applyFont="1" applyFill="1" applyBorder="1" applyAlignment="1">
      <alignment vertical="center"/>
    </xf>
    <xf numFmtId="0" fontId="78" fillId="0" borderId="1" xfId="0" applyFont="1" applyFill="1" applyBorder="1" applyAlignment="1">
      <alignment horizontal="left" vertical="center"/>
    </xf>
    <xf numFmtId="0" fontId="77" fillId="0" borderId="1" xfId="0" applyFont="1" applyFill="1" applyBorder="1" applyAlignment="1">
      <alignment horizontal="center" vertical="center"/>
    </xf>
    <xf numFmtId="0" fontId="77" fillId="0" borderId="1" xfId="0" applyNumberFormat="1" applyFont="1" applyFill="1" applyBorder="1" applyAlignment="1">
      <alignment horizontal="center" vertical="center"/>
    </xf>
    <xf numFmtId="0" fontId="77" fillId="0" borderId="1" xfId="0" applyFont="1" applyFill="1" applyBorder="1" applyAlignment="1">
      <alignment vertical="center"/>
    </xf>
    <xf numFmtId="2" fontId="77" fillId="0" borderId="1" xfId="0" applyNumberFormat="1" applyFont="1" applyFill="1" applyBorder="1" applyAlignment="1">
      <alignment vertical="center"/>
    </xf>
    <xf numFmtId="0" fontId="83" fillId="0" borderId="0" xfId="0" applyFont="1"/>
    <xf numFmtId="0" fontId="77" fillId="0" borderId="1" xfId="0" applyFont="1" applyFill="1" applyBorder="1" applyAlignment="1">
      <alignment vertical="center"/>
    </xf>
    <xf numFmtId="0" fontId="0" fillId="0" borderId="0" xfId="0"/>
    <xf numFmtId="0" fontId="77" fillId="40" borderId="1" xfId="0" applyFont="1" applyFill="1" applyBorder="1" applyAlignment="1">
      <alignment vertical="center"/>
    </xf>
    <xf numFmtId="2" fontId="77" fillId="40" borderId="1" xfId="0" applyNumberFormat="1" applyFont="1" applyFill="1" applyBorder="1" applyAlignment="1">
      <alignment vertical="center"/>
    </xf>
    <xf numFmtId="0" fontId="76" fillId="0" borderId="2" xfId="0" applyFont="1" applyBorder="1"/>
    <xf numFmtId="0" fontId="77" fillId="40" borderId="1" xfId="0" applyFont="1" applyFill="1" applyBorder="1" applyAlignment="1">
      <alignment vertical="center"/>
    </xf>
    <xf numFmtId="2" fontId="77" fillId="40" borderId="1" xfId="0" applyNumberFormat="1" applyFont="1" applyFill="1" applyBorder="1" applyAlignment="1">
      <alignment vertical="center"/>
    </xf>
    <xf numFmtId="0" fontId="77" fillId="40" borderId="1" xfId="0" applyFont="1" applyFill="1" applyBorder="1" applyAlignment="1">
      <alignment horizontal="center" vertical="center"/>
    </xf>
    <xf numFmtId="0" fontId="77" fillId="0" borderId="1" xfId="0" applyFont="1" applyFill="1" applyBorder="1" applyAlignment="1">
      <alignment vertical="center"/>
    </xf>
    <xf numFmtId="0" fontId="78" fillId="0" borderId="2" xfId="0" applyFont="1" applyBorder="1"/>
    <xf numFmtId="0" fontId="0" fillId="0" borderId="0" xfId="0"/>
    <xf numFmtId="0" fontId="0" fillId="0" borderId="0" xfId="0"/>
    <xf numFmtId="0" fontId="0" fillId="0" borderId="2" xfId="0" applyBorder="1"/>
    <xf numFmtId="0" fontId="0" fillId="0" borderId="3" xfId="0" applyBorder="1"/>
    <xf numFmtId="0" fontId="7" fillId="35" borderId="2" xfId="0" applyFont="1" applyFill="1" applyBorder="1" applyAlignment="1">
      <alignment horizontal="left" vertical="top"/>
    </xf>
    <xf numFmtId="2" fontId="5" fillId="35" borderId="2" xfId="0" applyNumberFormat="1" applyFont="1" applyFill="1" applyBorder="1" applyAlignment="1">
      <alignment horizontal="center" vertical="center" wrapText="1"/>
    </xf>
    <xf numFmtId="2" fontId="5" fillId="35" borderId="2" xfId="0" applyNumberFormat="1" applyFont="1" applyFill="1" applyBorder="1" applyAlignment="1">
      <alignment vertical="center" wrapText="1"/>
    </xf>
    <xf numFmtId="1" fontId="7" fillId="35" borderId="1" xfId="0" applyNumberFormat="1" applyFont="1" applyFill="1" applyBorder="1" applyAlignment="1">
      <alignment horizontal="left" vertical="top" wrapText="1"/>
    </xf>
    <xf numFmtId="167" fontId="5" fillId="0" borderId="0" xfId="0" applyNumberFormat="1" applyFont="1" applyBorder="1" applyAlignment="1">
      <alignment horizontal="center" vertical="top"/>
    </xf>
    <xf numFmtId="167" fontId="5" fillId="0" borderId="0" xfId="0" applyNumberFormat="1" applyFont="1" applyAlignment="1">
      <alignment horizontal="center" vertical="center"/>
    </xf>
    <xf numFmtId="167" fontId="5" fillId="0" borderId="15" xfId="0" applyNumberFormat="1" applyFont="1" applyBorder="1" applyAlignment="1">
      <alignment horizontal="center" vertical="center"/>
    </xf>
    <xf numFmtId="0" fontId="7" fillId="0" borderId="0" xfId="0" applyFont="1" applyAlignment="1">
      <alignment horizontal="left" vertical="top"/>
    </xf>
    <xf numFmtId="167" fontId="7" fillId="0" borderId="0" xfId="0" applyNumberFormat="1" applyFont="1" applyAlignment="1">
      <alignment horizontal="center" vertical="center"/>
    </xf>
    <xf numFmtId="0" fontId="7" fillId="0" borderId="15" xfId="0" applyFont="1" applyBorder="1" applyAlignment="1">
      <alignment horizontal="left" vertical="top"/>
    </xf>
    <xf numFmtId="167" fontId="7" fillId="0" borderId="15" xfId="0" applyNumberFormat="1" applyFont="1" applyBorder="1" applyAlignment="1">
      <alignment horizontal="center" vertical="center"/>
    </xf>
    <xf numFmtId="1" fontId="84" fillId="37" borderId="23" xfId="0" applyNumberFormat="1" applyFont="1" applyFill="1" applyBorder="1" applyAlignment="1">
      <alignment horizontal="center" vertical="center" wrapText="1"/>
    </xf>
    <xf numFmtId="1" fontId="5" fillId="37" borderId="20" xfId="0" applyNumberFormat="1" applyFont="1" applyFill="1" applyBorder="1" applyAlignment="1">
      <alignment horizontal="center" vertical="center" wrapText="1"/>
    </xf>
    <xf numFmtId="0" fontId="8" fillId="0" borderId="1" xfId="0" applyFont="1" applyFill="1" applyBorder="1" applyAlignment="1">
      <alignment vertical="center"/>
    </xf>
    <xf numFmtId="2" fontId="0" fillId="0" borderId="0" xfId="0" applyNumberFormat="1"/>
    <xf numFmtId="167" fontId="7" fillId="0" borderId="0" xfId="0" applyNumberFormat="1" applyFont="1" applyAlignment="1">
      <alignment horizontal="left" vertical="top"/>
    </xf>
    <xf numFmtId="0" fontId="5" fillId="0" borderId="3" xfId="0" applyFont="1" applyBorder="1"/>
    <xf numFmtId="2" fontId="7" fillId="0" borderId="4" xfId="0" applyNumberFormat="1" applyFont="1" applyBorder="1" applyAlignment="1">
      <alignment horizontal="center" vertical="center"/>
    </xf>
    <xf numFmtId="0" fontId="7" fillId="0" borderId="83" xfId="0" applyFont="1" applyBorder="1" applyAlignment="1">
      <alignment horizontal="left"/>
    </xf>
    <xf numFmtId="0" fontId="5" fillId="2" borderId="94" xfId="0" applyNumberFormat="1" applyFont="1" applyFill="1" applyBorder="1" applyAlignment="1">
      <alignment horizontal="center" vertical="center"/>
    </xf>
    <xf numFmtId="1" fontId="8" fillId="0" borderId="1" xfId="0" applyNumberFormat="1" applyFont="1" applyFill="1" applyBorder="1" applyAlignment="1">
      <alignment horizontal="center" vertical="center" wrapText="1"/>
    </xf>
    <xf numFmtId="1" fontId="5" fillId="0" borderId="2" xfId="0" applyNumberFormat="1" applyFont="1" applyFill="1" applyBorder="1" applyAlignment="1">
      <alignment horizontal="center" vertical="center" wrapText="1"/>
    </xf>
    <xf numFmtId="0" fontId="5" fillId="2" borderId="19" xfId="0" applyNumberFormat="1" applyFont="1" applyFill="1" applyBorder="1" applyAlignment="1">
      <alignment horizontal="center" vertical="center"/>
    </xf>
    <xf numFmtId="0" fontId="5" fillId="2" borderId="23" xfId="0" applyNumberFormat="1" applyFont="1" applyFill="1" applyBorder="1" applyAlignment="1">
      <alignment horizontal="center" vertical="center"/>
    </xf>
    <xf numFmtId="0" fontId="7" fillId="0" borderId="25" xfId="0" applyFont="1" applyFill="1" applyBorder="1" applyAlignment="1">
      <alignment horizontal="left" wrapText="1"/>
    </xf>
    <xf numFmtId="1" fontId="5" fillId="35" borderId="1" xfId="0" applyNumberFormat="1" applyFont="1" applyFill="1" applyBorder="1" applyAlignment="1">
      <alignment horizontal="center" vertical="center" wrapText="1"/>
    </xf>
    <xf numFmtId="167" fontId="5" fillId="35" borderId="1" xfId="0" applyNumberFormat="1" applyFont="1" applyFill="1" applyBorder="1" applyAlignment="1">
      <alignment horizontal="center" vertical="center" wrapText="1"/>
    </xf>
    <xf numFmtId="167" fontId="5" fillId="37" borderId="1" xfId="0" applyNumberFormat="1" applyFont="1" applyFill="1" applyBorder="1" applyAlignment="1">
      <alignment horizontal="center" vertical="center" wrapText="1"/>
    </xf>
    <xf numFmtId="167" fontId="5" fillId="37" borderId="1" xfId="0" applyNumberFormat="1" applyFont="1" applyFill="1" applyBorder="1" applyAlignment="1">
      <alignment horizontal="center" wrapText="1"/>
    </xf>
    <xf numFmtId="1" fontId="5" fillId="0" borderId="1" xfId="0" applyNumberFormat="1" applyFont="1" applyFill="1" applyBorder="1" applyAlignment="1">
      <alignment horizontal="center"/>
    </xf>
    <xf numFmtId="2" fontId="5" fillId="0" borderId="1" xfId="0" applyNumberFormat="1" applyFont="1" applyBorder="1" applyAlignment="1">
      <alignment horizontal="center"/>
    </xf>
    <xf numFmtId="2" fontId="5" fillId="0" borderId="1" xfId="0" applyNumberFormat="1" applyFont="1" applyFill="1" applyBorder="1" applyAlignment="1">
      <alignment horizontal="center"/>
    </xf>
    <xf numFmtId="2" fontId="5" fillId="37" borderId="1" xfId="0" applyNumberFormat="1" applyFont="1" applyFill="1" applyBorder="1" applyAlignment="1">
      <alignment horizontal="center" vertical="center" wrapText="1"/>
    </xf>
    <xf numFmtId="2" fontId="5" fillId="0" borderId="1" xfId="0" applyNumberFormat="1" applyFont="1" applyBorder="1" applyAlignment="1">
      <alignment horizontal="center" vertical="center"/>
    </xf>
    <xf numFmtId="1" fontId="5" fillId="35" borderId="1" xfId="0" applyNumberFormat="1" applyFont="1" applyFill="1" applyBorder="1" applyAlignment="1">
      <alignment horizontal="center"/>
    </xf>
    <xf numFmtId="0" fontId="7" fillId="0" borderId="26" xfId="0" applyFont="1" applyFill="1" applyBorder="1" applyAlignment="1">
      <alignment horizontal="left" wrapText="1"/>
    </xf>
    <xf numFmtId="2" fontId="5" fillId="0" borderId="2" xfId="0" applyNumberFormat="1" applyFont="1" applyFill="1" applyBorder="1" applyAlignment="1">
      <alignment horizontal="center" vertical="center" wrapText="1"/>
    </xf>
    <xf numFmtId="167" fontId="5" fillId="35" borderId="2" xfId="0" applyNumberFormat="1" applyFont="1" applyFill="1" applyBorder="1" applyAlignment="1">
      <alignment horizontal="center" vertical="center" wrapText="1"/>
    </xf>
    <xf numFmtId="2" fontId="8" fillId="0" borderId="1" xfId="0" applyNumberFormat="1" applyFont="1" applyFill="1" applyBorder="1" applyAlignment="1">
      <alignment horizontal="center" vertical="center" wrapText="1"/>
    </xf>
    <xf numFmtId="2" fontId="8" fillId="35" borderId="1" xfId="0" applyNumberFormat="1" applyFont="1" applyFill="1" applyBorder="1" applyAlignment="1">
      <alignment horizontal="center" vertical="center" wrapText="1"/>
    </xf>
    <xf numFmtId="2" fontId="5" fillId="0" borderId="20" xfId="0" applyNumberFormat="1" applyFont="1" applyFill="1" applyBorder="1" applyAlignment="1">
      <alignment horizontal="center" vertical="center"/>
    </xf>
    <xf numFmtId="0" fontId="8" fillId="37" borderId="3" xfId="0" applyFont="1" applyFill="1" applyBorder="1" applyAlignment="1">
      <alignment horizontal="center"/>
    </xf>
    <xf numFmtId="2" fontId="5" fillId="0" borderId="1" xfId="0" applyNumberFormat="1" applyFont="1" applyFill="1" applyBorder="1" applyAlignment="1">
      <alignment horizontal="center" vertical="center"/>
    </xf>
    <xf numFmtId="0" fontId="6" fillId="37" borderId="24" xfId="0" applyFont="1" applyFill="1" applyBorder="1" applyAlignment="1">
      <alignment horizontal="left" wrapText="1"/>
    </xf>
    <xf numFmtId="0" fontId="5" fillId="37" borderId="3" xfId="0" applyNumberFormat="1" applyFont="1" applyFill="1" applyBorder="1" applyAlignment="1">
      <alignment horizontal="center" vertical="center" wrapText="1"/>
    </xf>
    <xf numFmtId="0" fontId="6" fillId="37" borderId="25" xfId="0" applyFont="1" applyFill="1" applyBorder="1" applyAlignment="1">
      <alignment horizontal="left" wrapText="1"/>
    </xf>
    <xf numFmtId="1" fontId="5" fillId="37" borderId="1" xfId="0" applyNumberFormat="1" applyFont="1" applyFill="1" applyBorder="1" applyAlignment="1">
      <alignment horizontal="center" vertical="center" wrapText="1"/>
    </xf>
    <xf numFmtId="1" fontId="5" fillId="0" borderId="1" xfId="0" applyNumberFormat="1" applyFont="1" applyFill="1" applyBorder="1" applyAlignment="1">
      <alignment horizontal="center" vertical="center"/>
    </xf>
    <xf numFmtId="2" fontId="5" fillId="0" borderId="1" xfId="0" applyNumberFormat="1" applyFont="1" applyBorder="1" applyAlignment="1">
      <alignment horizontal="center" wrapText="1"/>
    </xf>
    <xf numFmtId="2" fontId="8" fillId="0" borderId="1" xfId="0" applyNumberFormat="1" applyFont="1" applyBorder="1"/>
    <xf numFmtId="0" fontId="8" fillId="0" borderId="1" xfId="0" applyFont="1" applyFill="1" applyBorder="1"/>
    <xf numFmtId="0" fontId="5" fillId="0" borderId="19" xfId="0" applyFont="1" applyBorder="1" applyAlignment="1">
      <alignment horizontal="left"/>
    </xf>
    <xf numFmtId="0" fontId="5" fillId="0" borderId="20" xfId="0" applyFont="1" applyBorder="1"/>
    <xf numFmtId="0" fontId="8" fillId="0" borderId="1" xfId="0" applyFont="1" applyFill="1" applyBorder="1" applyAlignment="1">
      <alignment horizontal="center"/>
    </xf>
    <xf numFmtId="1" fontId="5" fillId="35" borderId="2" xfId="0" applyNumberFormat="1" applyFont="1" applyFill="1" applyBorder="1" applyAlignment="1">
      <alignment horizontal="center" vertical="center" wrapText="1"/>
    </xf>
    <xf numFmtId="0" fontId="8" fillId="0" borderId="1" xfId="0" applyFont="1" applyFill="1" applyBorder="1" applyAlignment="1">
      <alignment vertical="center"/>
    </xf>
    <xf numFmtId="0" fontId="6" fillId="0" borderId="25" xfId="0" applyFont="1" applyFill="1" applyBorder="1" applyAlignment="1">
      <alignment horizontal="left" wrapText="1"/>
    </xf>
    <xf numFmtId="167" fontId="5" fillId="0" borderId="1" xfId="0" applyNumberFormat="1" applyFont="1" applyFill="1" applyBorder="1" applyAlignment="1">
      <alignment horizontal="center" vertical="center" wrapText="1"/>
    </xf>
    <xf numFmtId="1" fontId="5" fillId="0" borderId="1" xfId="0" applyNumberFormat="1" applyFont="1" applyFill="1" applyBorder="1" applyAlignment="1">
      <alignment horizontal="center" vertical="center" wrapText="1"/>
    </xf>
    <xf numFmtId="2" fontId="5" fillId="0" borderId="1" xfId="0" applyNumberFormat="1" applyFont="1" applyFill="1" applyBorder="1" applyAlignment="1">
      <alignment horizontal="center" vertical="center" wrapText="1"/>
    </xf>
    <xf numFmtId="0" fontId="45" fillId="0" borderId="0" xfId="0" applyFont="1" applyFill="1" applyAlignment="1">
      <alignment horizontal="left" wrapText="1"/>
    </xf>
    <xf numFmtId="0" fontId="7" fillId="0" borderId="1" xfId="0" applyFont="1" applyFill="1" applyBorder="1" applyAlignment="1">
      <alignment horizontal="left" wrapText="1"/>
    </xf>
    <xf numFmtId="0" fontId="7" fillId="0" borderId="12" xfId="0" applyFont="1" applyFill="1" applyBorder="1" applyAlignment="1">
      <alignment horizontal="left" wrapText="1"/>
    </xf>
    <xf numFmtId="167" fontId="5" fillId="0" borderId="0" xfId="0" applyNumberFormat="1" applyFont="1" applyAlignment="1">
      <alignment horizontal="center"/>
    </xf>
    <xf numFmtId="167" fontId="69" fillId="36" borderId="20" xfId="0" applyNumberFormat="1" applyFont="1" applyFill="1" applyBorder="1" applyAlignment="1">
      <alignment horizontal="center" vertical="center" wrapText="1"/>
    </xf>
    <xf numFmtId="167" fontId="8" fillId="42" borderId="64" xfId="0" applyNumberFormat="1" applyFont="1" applyFill="1" applyBorder="1" applyAlignment="1">
      <alignment horizontal="center"/>
    </xf>
    <xf numFmtId="167" fontId="5" fillId="0" borderId="68" xfId="0" applyNumberFormat="1" applyFont="1" applyFill="1" applyBorder="1" applyAlignment="1">
      <alignment horizontal="center" vertical="top" wrapText="1"/>
    </xf>
    <xf numFmtId="167" fontId="5" fillId="42" borderId="68" xfId="0" applyNumberFormat="1" applyFont="1" applyFill="1" applyBorder="1" applyAlignment="1">
      <alignment horizontal="center" vertical="top" wrapText="1"/>
    </xf>
    <xf numFmtId="167" fontId="5" fillId="0" borderId="76" xfId="0" applyNumberFormat="1" applyFont="1" applyFill="1" applyBorder="1" applyAlignment="1">
      <alignment horizontal="center" vertical="top" wrapText="1"/>
    </xf>
    <xf numFmtId="167" fontId="5" fillId="0" borderId="71" xfId="0" applyNumberFormat="1" applyFont="1" applyFill="1" applyBorder="1" applyAlignment="1">
      <alignment horizontal="center" vertical="top" wrapText="1"/>
    </xf>
    <xf numFmtId="167" fontId="5" fillId="0" borderId="74" xfId="0" applyNumberFormat="1" applyFont="1" applyBorder="1" applyAlignment="1">
      <alignment horizontal="center"/>
    </xf>
    <xf numFmtId="167" fontId="5" fillId="0" borderId="1" xfId="0" applyNumberFormat="1" applyFont="1" applyFill="1" applyBorder="1" applyAlignment="1">
      <alignment horizontal="center" wrapText="1"/>
    </xf>
    <xf numFmtId="171" fontId="0" fillId="0" borderId="1" xfId="0" applyNumberFormat="1" applyBorder="1" applyAlignment="1">
      <alignment horizontal="center"/>
    </xf>
    <xf numFmtId="0" fontId="108" fillId="0" borderId="0" xfId="0" applyFont="1"/>
    <xf numFmtId="0" fontId="109" fillId="0" borderId="0" xfId="0" applyFont="1"/>
    <xf numFmtId="3" fontId="109" fillId="0" borderId="0" xfId="0" applyNumberFormat="1" applyFont="1"/>
    <xf numFmtId="0" fontId="40" fillId="36" borderId="10" xfId="0" applyFont="1" applyFill="1" applyBorder="1" applyAlignment="1"/>
    <xf numFmtId="0" fontId="40" fillId="36" borderId="1" xfId="0" applyFont="1" applyFill="1" applyBorder="1" applyAlignment="1">
      <alignment horizontal="center"/>
    </xf>
    <xf numFmtId="0" fontId="109" fillId="0" borderId="1" xfId="0" applyFont="1" applyBorder="1"/>
    <xf numFmtId="3" fontId="109" fillId="0" borderId="1" xfId="0" applyNumberFormat="1" applyFont="1" applyBorder="1" applyAlignment="1">
      <alignment horizontal="right" vertical="center"/>
    </xf>
    <xf numFmtId="0" fontId="109" fillId="0" borderId="1" xfId="0" applyFont="1" applyFill="1" applyBorder="1"/>
    <xf numFmtId="3" fontId="109" fillId="0" borderId="1" xfId="0" applyNumberFormat="1" applyFont="1" applyBorder="1"/>
    <xf numFmtId="0" fontId="110" fillId="0" borderId="1" xfId="0" applyFont="1" applyFill="1" applyBorder="1"/>
    <xf numFmtId="3" fontId="110" fillId="0" borderId="1" xfId="0" applyNumberFormat="1" applyFont="1" applyBorder="1"/>
    <xf numFmtId="0" fontId="109" fillId="0" borderId="1" xfId="0" applyFont="1" applyFill="1" applyBorder="1" applyAlignment="1">
      <alignment horizontal="left" indent="5"/>
    </xf>
    <xf numFmtId="0" fontId="109" fillId="0" borderId="0" xfId="0" applyFont="1" applyFill="1" applyBorder="1"/>
    <xf numFmtId="0" fontId="109" fillId="0" borderId="0" xfId="0" applyFont="1" applyBorder="1"/>
    <xf numFmtId="3" fontId="109" fillId="0" borderId="0" xfId="0" applyNumberFormat="1" applyFont="1" applyBorder="1"/>
    <xf numFmtId="0" fontId="109" fillId="0" borderId="27" xfId="0" applyFont="1" applyBorder="1"/>
    <xf numFmtId="0" fontId="109" fillId="0" borderId="35" xfId="0" applyFont="1" applyBorder="1"/>
    <xf numFmtId="3" fontId="109" fillId="0" borderId="35" xfId="0" applyNumberFormat="1" applyFont="1" applyBorder="1"/>
    <xf numFmtId="0" fontId="109" fillId="0" borderId="82" xfId="0" applyFont="1" applyBorder="1" applyAlignment="1"/>
    <xf numFmtId="0" fontId="109" fillId="0" borderId="0" xfId="0" applyFont="1" applyBorder="1" applyAlignment="1"/>
    <xf numFmtId="0" fontId="40" fillId="36" borderId="68" xfId="0" applyFont="1" applyFill="1" applyBorder="1" applyAlignment="1"/>
    <xf numFmtId="0" fontId="40" fillId="36" borderId="1" xfId="0" applyFont="1" applyFill="1" applyBorder="1" applyAlignment="1">
      <alignment horizontal="center" wrapText="1"/>
    </xf>
    <xf numFmtId="0" fontId="40" fillId="36" borderId="1" xfId="0" applyFont="1" applyFill="1" applyBorder="1" applyAlignment="1">
      <alignment horizontal="center" vertical="top" wrapText="1"/>
    </xf>
    <xf numFmtId="0" fontId="40" fillId="36" borderId="62" xfId="0" applyFont="1" applyFill="1" applyBorder="1" applyAlignment="1">
      <alignment horizontal="center"/>
    </xf>
    <xf numFmtId="0" fontId="109" fillId="0" borderId="49" xfId="0" applyFont="1" applyBorder="1"/>
    <xf numFmtId="3" fontId="109" fillId="0" borderId="62" xfId="0" applyNumberFormat="1" applyFont="1" applyFill="1" applyBorder="1" applyAlignment="1">
      <alignment horizontal="right" vertical="center"/>
    </xf>
    <xf numFmtId="3" fontId="109" fillId="0" borderId="1" xfId="0" applyNumberFormat="1" applyFont="1" applyFill="1" applyBorder="1" applyAlignment="1">
      <alignment horizontal="right" vertical="center"/>
    </xf>
    <xf numFmtId="3" fontId="109" fillId="0" borderId="1" xfId="138" applyNumberFormat="1" applyFont="1" applyBorder="1" applyAlignment="1">
      <alignment horizontal="right" vertical="center"/>
    </xf>
    <xf numFmtId="3" fontId="109" fillId="0" borderId="1" xfId="138" applyNumberFormat="1" applyFont="1" applyFill="1" applyBorder="1" applyAlignment="1">
      <alignment horizontal="right" vertical="center"/>
    </xf>
    <xf numFmtId="3" fontId="109" fillId="0" borderId="62" xfId="0" applyNumberFormat="1" applyFont="1" applyBorder="1" applyAlignment="1">
      <alignment horizontal="right" vertical="center"/>
    </xf>
    <xf numFmtId="0" fontId="40" fillId="36" borderId="49" xfId="0" applyFont="1" applyFill="1" applyBorder="1" applyAlignment="1"/>
    <xf numFmtId="3" fontId="40" fillId="36" borderId="1" xfId="0" applyNumberFormat="1" applyFont="1" applyFill="1" applyBorder="1" applyAlignment="1"/>
    <xf numFmtId="3" fontId="40" fillId="36" borderId="62" xfId="0" applyNumberFormat="1" applyFont="1" applyFill="1" applyBorder="1" applyAlignment="1"/>
    <xf numFmtId="0" fontId="40" fillId="0" borderId="83" xfId="0" applyFont="1" applyFill="1" applyBorder="1" applyAlignment="1"/>
    <xf numFmtId="3" fontId="40" fillId="0" borderId="0" xfId="0" applyNumberFormat="1" applyFont="1" applyFill="1" applyBorder="1" applyAlignment="1"/>
    <xf numFmtId="3" fontId="40" fillId="0" borderId="84" xfId="0" applyNumberFormat="1" applyFont="1" applyFill="1" applyBorder="1" applyAlignment="1"/>
    <xf numFmtId="0" fontId="40" fillId="36" borderId="49" xfId="0" applyFont="1" applyFill="1" applyBorder="1"/>
    <xf numFmtId="0" fontId="109" fillId="0" borderId="49" xfId="0" applyFont="1" applyFill="1" applyBorder="1" applyAlignment="1">
      <alignment horizontal="left" vertical="center"/>
    </xf>
    <xf numFmtId="3" fontId="109" fillId="0" borderId="1" xfId="0" applyNumberFormat="1" applyFont="1" applyFill="1" applyBorder="1"/>
    <xf numFmtId="3" fontId="80" fillId="0" borderId="1" xfId="0" applyNumberFormat="1" applyFont="1" applyFill="1" applyBorder="1"/>
    <xf numFmtId="3" fontId="80" fillId="0" borderId="62" xfId="0" applyNumberFormat="1" applyFont="1" applyFill="1" applyBorder="1"/>
    <xf numFmtId="3" fontId="80" fillId="0" borderId="3" xfId="0" applyNumberFormat="1" applyFont="1" applyFill="1" applyBorder="1"/>
    <xf numFmtId="0" fontId="109" fillId="0" borderId="49" xfId="0" applyFont="1" applyBorder="1" applyAlignment="1">
      <alignment horizontal="left" vertical="center"/>
    </xf>
    <xf numFmtId="0" fontId="80" fillId="0" borderId="49" xfId="0" applyFont="1" applyFill="1" applyBorder="1" applyAlignment="1">
      <alignment horizontal="left" vertical="center" wrapText="1"/>
    </xf>
    <xf numFmtId="3" fontId="109" fillId="0" borderId="62" xfId="0" applyNumberFormat="1" applyFont="1" applyFill="1" applyBorder="1"/>
    <xf numFmtId="0" fontId="80" fillId="0" borderId="49" xfId="0" applyFont="1" applyBorder="1" applyAlignment="1">
      <alignment horizontal="left" vertical="center"/>
    </xf>
    <xf numFmtId="0" fontId="111" fillId="34" borderId="49" xfId="0" applyFont="1" applyFill="1" applyBorder="1" applyAlignment="1">
      <alignment horizontal="right" vertical="center"/>
    </xf>
    <xf numFmtId="3" fontId="112" fillId="34" borderId="1" xfId="0" applyNumberFormat="1" applyFont="1" applyFill="1" applyBorder="1" applyAlignment="1">
      <alignment horizontal="right" indent="1"/>
    </xf>
    <xf numFmtId="3" fontId="112" fillId="34" borderId="62" xfId="0" applyNumberFormat="1" applyFont="1" applyFill="1" applyBorder="1" applyAlignment="1">
      <alignment horizontal="right" indent="1"/>
    </xf>
    <xf numFmtId="0" fontId="109" fillId="0" borderId="0" xfId="0" applyFont="1" applyFill="1"/>
    <xf numFmtId="0" fontId="80" fillId="0" borderId="49" xfId="0" applyFont="1" applyBorder="1" applyAlignment="1">
      <alignment horizontal="left" vertical="center" wrapText="1"/>
    </xf>
    <xf numFmtId="0" fontId="40" fillId="36" borderId="49" xfId="0" applyFont="1" applyFill="1" applyBorder="1" applyAlignment="1">
      <alignment horizontal="left" vertical="center"/>
    </xf>
    <xf numFmtId="3" fontId="40" fillId="36" borderId="1" xfId="0" applyNumberFormat="1" applyFont="1" applyFill="1" applyBorder="1" applyAlignment="1">
      <alignment vertical="center"/>
    </xf>
    <xf numFmtId="3" fontId="40" fillId="36" borderId="62" xfId="0" applyNumberFormat="1" applyFont="1" applyFill="1" applyBorder="1" applyAlignment="1">
      <alignment vertical="center"/>
    </xf>
    <xf numFmtId="9" fontId="40" fillId="36" borderId="1" xfId="0" applyNumberFormat="1" applyFont="1" applyFill="1" applyBorder="1" applyAlignment="1">
      <alignment vertical="center"/>
    </xf>
    <xf numFmtId="9" fontId="40" fillId="36" borderId="62" xfId="0" applyNumberFormat="1" applyFont="1" applyFill="1" applyBorder="1" applyAlignment="1">
      <alignment vertical="center"/>
    </xf>
    <xf numFmtId="0" fontId="80" fillId="0" borderId="49" xfId="0" applyFont="1" applyBorder="1" applyAlignment="1">
      <alignment vertical="center" wrapText="1"/>
    </xf>
    <xf numFmtId="0" fontId="40" fillId="36" borderId="49" xfId="0" applyFont="1" applyFill="1" applyBorder="1" applyAlignment="1">
      <alignment horizontal="left" vertical="center" wrapText="1"/>
    </xf>
    <xf numFmtId="0" fontId="109" fillId="0" borderId="49" xfId="0" applyFont="1" applyBorder="1" applyAlignment="1">
      <alignment vertical="center" wrapText="1"/>
    </xf>
    <xf numFmtId="0" fontId="40" fillId="36" borderId="19" xfId="0" applyFont="1" applyFill="1" applyBorder="1"/>
    <xf numFmtId="3" fontId="40" fillId="36" borderId="20" xfId="0" applyNumberFormat="1" applyFont="1" applyFill="1" applyBorder="1"/>
    <xf numFmtId="3" fontId="40" fillId="36" borderId="85" xfId="0" applyNumberFormat="1" applyFont="1" applyFill="1" applyBorder="1"/>
    <xf numFmtId="3" fontId="40" fillId="36" borderId="1" xfId="0" applyNumberFormat="1" applyFont="1" applyFill="1" applyBorder="1"/>
    <xf numFmtId="0" fontId="40" fillId="36" borderId="3" xfId="0" applyFont="1" applyFill="1" applyBorder="1"/>
    <xf numFmtId="3" fontId="40" fillId="36" borderId="3" xfId="0" applyNumberFormat="1" applyFont="1" applyFill="1" applyBorder="1"/>
    <xf numFmtId="0" fontId="109" fillId="0" borderId="0" xfId="0" applyFont="1" applyAlignment="1">
      <alignment horizontal="left"/>
    </xf>
    <xf numFmtId="9" fontId="113" fillId="0" borderId="0" xfId="0" applyNumberFormat="1" applyFont="1" applyFill="1" applyBorder="1"/>
    <xf numFmtId="3" fontId="110" fillId="0" borderId="0" xfId="0" applyNumberFormat="1" applyFont="1" applyAlignment="1">
      <alignment horizontal="left"/>
    </xf>
    <xf numFmtId="9" fontId="110" fillId="0" borderId="0" xfId="0" applyNumberFormat="1" applyFont="1" applyAlignment="1">
      <alignment horizontal="left"/>
    </xf>
    <xf numFmtId="9" fontId="109" fillId="0" borderId="0" xfId="0" applyNumberFormat="1" applyFont="1"/>
    <xf numFmtId="9" fontId="109" fillId="0" borderId="0" xfId="0" applyNumberFormat="1" applyFont="1" applyFill="1" applyAlignment="1"/>
    <xf numFmtId="0" fontId="7" fillId="0" borderId="3" xfId="0" applyFont="1" applyBorder="1"/>
    <xf numFmtId="0" fontId="7" fillId="0" borderId="19" xfId="0" applyFont="1" applyBorder="1" applyAlignment="1">
      <alignment horizontal="left"/>
    </xf>
    <xf numFmtId="2" fontId="7" fillId="0" borderId="20" xfId="0" applyNumberFormat="1" applyFont="1" applyFill="1" applyBorder="1" applyAlignment="1">
      <alignment horizontal="center" vertical="center"/>
    </xf>
    <xf numFmtId="0" fontId="7" fillId="0" borderId="20" xfId="0" applyFont="1" applyBorder="1"/>
    <xf numFmtId="2" fontId="7" fillId="0" borderId="1" xfId="0" applyNumberFormat="1" applyFont="1" applyBorder="1" applyAlignment="1">
      <alignment horizontal="center"/>
    </xf>
    <xf numFmtId="2" fontId="29" fillId="0" borderId="3" xfId="0" applyNumberFormat="1" applyFont="1" applyBorder="1" applyAlignment="1">
      <alignment horizontal="center"/>
    </xf>
    <xf numFmtId="167" fontId="29" fillId="0" borderId="3" xfId="0" applyNumberFormat="1" applyFont="1" applyBorder="1"/>
    <xf numFmtId="0" fontId="7" fillId="0" borderId="20" xfId="0" applyFont="1" applyFill="1" applyBorder="1" applyAlignment="1">
      <alignment horizontal="left" wrapText="1"/>
    </xf>
    <xf numFmtId="2" fontId="5" fillId="0" borderId="20" xfId="0" applyNumberFormat="1" applyFont="1" applyFill="1" applyBorder="1" applyAlignment="1">
      <alignment horizontal="center" vertical="center" wrapText="1"/>
    </xf>
    <xf numFmtId="167" fontId="5" fillId="35" borderId="20" xfId="0" applyNumberFormat="1" applyFont="1" applyFill="1" applyBorder="1" applyAlignment="1">
      <alignment horizontal="center" vertical="center" wrapText="1"/>
    </xf>
    <xf numFmtId="1" fontId="5" fillId="35" borderId="20" xfId="0" applyNumberFormat="1" applyFont="1" applyFill="1" applyBorder="1" applyAlignment="1">
      <alignment horizontal="center" vertical="center" wrapText="1"/>
    </xf>
    <xf numFmtId="0" fontId="77" fillId="0" borderId="20" xfId="0" applyFont="1" applyBorder="1" applyAlignment="1">
      <alignment horizontal="center" vertical="top"/>
    </xf>
    <xf numFmtId="0" fontId="9" fillId="2" borderId="35" xfId="0" applyNumberFormat="1" applyFont="1" applyFill="1" applyBorder="1" applyAlignment="1">
      <alignment horizontal="center" vertical="center" wrapText="1"/>
    </xf>
    <xf numFmtId="2" fontId="5" fillId="35" borderId="1" xfId="0" applyNumberFormat="1" applyFont="1" applyFill="1" applyBorder="1" applyAlignment="1">
      <alignment horizontal="center" vertical="center" wrapText="1"/>
    </xf>
    <xf numFmtId="2" fontId="5" fillId="37" borderId="3" xfId="0" applyNumberFormat="1" applyFont="1" applyFill="1" applyBorder="1" applyAlignment="1">
      <alignment horizontal="center" vertical="center" wrapText="1"/>
    </xf>
    <xf numFmtId="1" fontId="5" fillId="37" borderId="3" xfId="0" applyNumberFormat="1" applyFont="1" applyFill="1" applyBorder="1" applyAlignment="1">
      <alignment horizontal="center" vertical="center" wrapText="1"/>
    </xf>
    <xf numFmtId="167" fontId="5" fillId="37" borderId="3" xfId="0" applyNumberFormat="1" applyFont="1" applyFill="1" applyBorder="1" applyAlignment="1">
      <alignment horizontal="center" vertical="center" wrapText="1"/>
    </xf>
    <xf numFmtId="0" fontId="6" fillId="35" borderId="1" xfId="0" applyFont="1" applyFill="1" applyBorder="1" applyAlignment="1">
      <alignment horizontal="left" wrapText="1"/>
    </xf>
    <xf numFmtId="0" fontId="5" fillId="0" borderId="1" xfId="0" applyFont="1" applyFill="1" applyBorder="1" applyAlignment="1">
      <alignment horizontal="right" vertical="top"/>
    </xf>
    <xf numFmtId="1" fontId="6" fillId="42" borderId="1" xfId="0" applyNumberFormat="1" applyFont="1" applyFill="1" applyBorder="1" applyAlignment="1">
      <alignment horizontal="center" vertical="center" wrapText="1"/>
    </xf>
    <xf numFmtId="167" fontId="6" fillId="42" borderId="1" xfId="0" applyNumberFormat="1" applyFont="1" applyFill="1" applyBorder="1" applyAlignment="1">
      <alignment horizontal="left" vertical="center" wrapText="1"/>
    </xf>
    <xf numFmtId="0" fontId="0" fillId="0" borderId="1" xfId="0" applyBorder="1" applyAlignment="1">
      <alignment horizontal="center"/>
    </xf>
    <xf numFmtId="0" fontId="64" fillId="0" borderId="1" xfId="0" applyFont="1" applyFill="1" applyBorder="1" applyAlignment="1">
      <alignment vertical="top"/>
    </xf>
    <xf numFmtId="2" fontId="0" fillId="0" borderId="1" xfId="0" applyNumberFormat="1" applyBorder="1"/>
    <xf numFmtId="167" fontId="8" fillId="42" borderId="56" xfId="0" applyNumberFormat="1" applyFont="1" applyFill="1" applyBorder="1" applyAlignment="1">
      <alignment horizontal="center" vertical="center" wrapText="1"/>
    </xf>
    <xf numFmtId="0" fontId="64" fillId="0" borderId="75" xfId="0" applyFont="1" applyBorder="1"/>
    <xf numFmtId="0" fontId="60" fillId="36" borderId="17" xfId="0" applyNumberFormat="1" applyFont="1" applyFill="1" applyBorder="1" applyAlignment="1">
      <alignment horizontal="center" vertical="center" wrapText="1"/>
    </xf>
    <xf numFmtId="0" fontId="9" fillId="2" borderId="35" xfId="0" applyNumberFormat="1" applyFont="1" applyFill="1" applyBorder="1" applyAlignment="1">
      <alignment horizontal="center" vertical="center" wrapText="1"/>
    </xf>
    <xf numFmtId="0" fontId="5" fillId="2" borderId="5" xfId="0" applyNumberFormat="1" applyFont="1" applyFill="1" applyBorder="1" applyAlignment="1">
      <alignment horizontal="center" vertical="center"/>
    </xf>
    <xf numFmtId="167" fontId="8" fillId="0" borderId="1" xfId="0" applyNumberFormat="1" applyFont="1" applyFill="1" applyBorder="1" applyAlignment="1">
      <alignment horizontal="center" wrapText="1"/>
    </xf>
    <xf numFmtId="3" fontId="43" fillId="0" borderId="1" xfId="0" applyNumberFormat="1" applyFont="1" applyFill="1" applyBorder="1" applyAlignment="1">
      <alignment horizontal="center" wrapText="1"/>
    </xf>
    <xf numFmtId="0" fontId="40" fillId="36" borderId="1" xfId="0" applyFont="1" applyFill="1" applyBorder="1" applyAlignment="1">
      <alignment horizontal="left"/>
    </xf>
    <xf numFmtId="3" fontId="116" fillId="0" borderId="0" xfId="0" applyNumberFormat="1" applyFont="1" applyBorder="1"/>
    <xf numFmtId="9" fontId="109" fillId="0" borderId="0" xfId="3885" applyFont="1"/>
    <xf numFmtId="3" fontId="80" fillId="0" borderId="10" xfId="0" applyNumberFormat="1" applyFont="1" applyFill="1" applyBorder="1"/>
    <xf numFmtId="3" fontId="80" fillId="0" borderId="18" xfId="0" applyNumberFormat="1" applyFont="1" applyFill="1" applyBorder="1"/>
    <xf numFmtId="0" fontId="40" fillId="36" borderId="2" xfId="0" applyFont="1" applyFill="1" applyBorder="1" applyAlignment="1">
      <alignment horizontal="center"/>
    </xf>
    <xf numFmtId="0" fontId="40" fillId="36" borderId="95" xfId="0" applyFont="1" applyFill="1" applyBorder="1" applyAlignment="1">
      <alignment horizontal="center"/>
    </xf>
    <xf numFmtId="3" fontId="116" fillId="0" borderId="0" xfId="0" applyNumberFormat="1" applyFont="1"/>
    <xf numFmtId="0" fontId="40" fillId="36" borderId="4" xfId="0" applyFont="1" applyFill="1" applyBorder="1" applyAlignment="1">
      <alignment horizontal="center"/>
    </xf>
    <xf numFmtId="3" fontId="109" fillId="0" borderId="0" xfId="0" applyNumberFormat="1" applyFont="1" applyFill="1" applyBorder="1" applyAlignment="1">
      <alignment horizontal="right" vertical="center"/>
    </xf>
    <xf numFmtId="0" fontId="40" fillId="0" borderId="0" xfId="0" applyFont="1" applyFill="1" applyBorder="1" applyAlignment="1">
      <alignment horizontal="center"/>
    </xf>
    <xf numFmtId="0" fontId="119" fillId="0" borderId="0" xfId="0" applyFont="1"/>
    <xf numFmtId="3" fontId="80" fillId="0" borderId="0" xfId="0" applyNumberFormat="1" applyFont="1" applyFill="1" applyBorder="1" applyAlignment="1"/>
    <xf numFmtId="0" fontId="0" fillId="0" borderId="31" xfId="0" applyBorder="1" applyAlignment="1">
      <alignment horizontal="center" vertical="center" wrapText="1"/>
    </xf>
    <xf numFmtId="0" fontId="123" fillId="0" borderId="0" xfId="0" applyFont="1" applyFill="1"/>
    <xf numFmtId="0" fontId="124" fillId="0" borderId="0" xfId="0" applyFont="1" applyFill="1"/>
    <xf numFmtId="0" fontId="123" fillId="0" borderId="0" xfId="0" applyFont="1" applyFill="1" applyAlignment="1">
      <alignment horizontal="center"/>
    </xf>
    <xf numFmtId="0" fontId="125" fillId="0" borderId="0" xfId="0" applyFont="1" applyFill="1"/>
    <xf numFmtId="0" fontId="123" fillId="0" borderId="0" xfId="0" applyFont="1" applyFill="1" applyAlignment="1">
      <alignment horizontal="left"/>
    </xf>
    <xf numFmtId="0" fontId="4" fillId="0" borderId="100" xfId="56" applyFont="1" applyFill="1" applyBorder="1" applyAlignment="1">
      <alignment horizontal="center" vertical="center" textRotation="90" wrapText="1"/>
    </xf>
    <xf numFmtId="0" fontId="4" fillId="93" borderId="7" xfId="56" applyFont="1" applyFill="1" applyBorder="1" applyAlignment="1">
      <alignment horizontal="center" vertical="center" textRotation="90" wrapText="1"/>
    </xf>
    <xf numFmtId="0" fontId="4" fillId="0" borderId="7" xfId="56" applyFont="1" applyFill="1" applyBorder="1" applyAlignment="1">
      <alignment horizontal="center" vertical="center" wrapText="1"/>
    </xf>
    <xf numFmtId="0" fontId="4" fillId="0" borderId="7" xfId="56" applyFont="1" applyFill="1" applyBorder="1" applyAlignment="1">
      <alignment horizontal="center" vertical="center" textRotation="90" wrapText="1"/>
    </xf>
    <xf numFmtId="0" fontId="75" fillId="0" borderId="7" xfId="56" applyFont="1" applyFill="1" applyBorder="1" applyAlignment="1">
      <alignment horizontal="center" vertical="center" textRotation="90" wrapText="1"/>
    </xf>
    <xf numFmtId="0" fontId="4" fillId="0" borderId="98" xfId="56" applyFont="1" applyFill="1" applyBorder="1" applyAlignment="1">
      <alignment horizontal="center" vertical="center" textRotation="90" wrapText="1"/>
    </xf>
    <xf numFmtId="0" fontId="75" fillId="0" borderId="0" xfId="0" applyFont="1" applyFill="1"/>
    <xf numFmtId="0" fontId="126" fillId="0" borderId="52" xfId="44" applyFont="1" applyFill="1" applyBorder="1" applyAlignment="1">
      <alignment horizontal="center" vertical="top"/>
    </xf>
    <xf numFmtId="0" fontId="125" fillId="93" borderId="101" xfId="55" applyFont="1" applyFill="1" applyBorder="1"/>
    <xf numFmtId="1" fontId="125" fillId="0" borderId="29" xfId="44" applyNumberFormat="1" applyFont="1" applyFill="1" applyBorder="1"/>
    <xf numFmtId="0" fontId="125" fillId="0" borderId="29" xfId="44" applyFont="1" applyFill="1" applyBorder="1"/>
    <xf numFmtId="0" fontId="125" fillId="0" borderId="29" xfId="44" applyFont="1" applyFill="1" applyBorder="1" applyAlignment="1">
      <alignment horizontal="center"/>
    </xf>
    <xf numFmtId="0" fontId="127" fillId="0" borderId="29" xfId="44" applyFont="1" applyFill="1" applyBorder="1" applyAlignment="1">
      <alignment horizontal="left"/>
    </xf>
    <xf numFmtId="3" fontId="125" fillId="0" borderId="96" xfId="3888" applyNumberFormat="1" applyFont="1" applyFill="1" applyBorder="1"/>
    <xf numFmtId="1" fontId="125" fillId="0" borderId="60" xfId="44" applyNumberFormat="1" applyFont="1" applyFill="1" applyBorder="1" applyAlignment="1">
      <alignment horizontal="center"/>
    </xf>
    <xf numFmtId="0" fontId="126" fillId="0" borderId="68" xfId="44" applyFont="1" applyFill="1" applyBorder="1" applyAlignment="1">
      <alignment horizontal="center" vertical="top"/>
    </xf>
    <xf numFmtId="0" fontId="125" fillId="93" borderId="49" xfId="55" applyFont="1" applyFill="1" applyBorder="1"/>
    <xf numFmtId="1" fontId="125" fillId="0" borderId="1" xfId="44" applyNumberFormat="1" applyFont="1" applyFill="1" applyBorder="1"/>
    <xf numFmtId="0" fontId="125" fillId="0" borderId="1" xfId="44" applyFont="1" applyFill="1" applyBorder="1"/>
    <xf numFmtId="0" fontId="125" fillId="0" borderId="1" xfId="44" applyFont="1" applyFill="1" applyBorder="1" applyAlignment="1">
      <alignment horizontal="center"/>
    </xf>
    <xf numFmtId="0" fontId="127" fillId="0" borderId="1" xfId="44" applyFont="1" applyFill="1" applyBorder="1" applyAlignment="1">
      <alignment horizontal="left"/>
    </xf>
    <xf numFmtId="3" fontId="125" fillId="0" borderId="10" xfId="3888" applyNumberFormat="1" applyFont="1" applyFill="1" applyBorder="1"/>
    <xf numFmtId="1" fontId="125" fillId="0" borderId="62" xfId="44" applyNumberFormat="1" applyFont="1" applyFill="1" applyBorder="1" applyAlignment="1">
      <alignment horizontal="center"/>
    </xf>
    <xf numFmtId="0" fontId="126" fillId="0" borderId="71" xfId="44" applyFont="1" applyFill="1" applyBorder="1" applyAlignment="1">
      <alignment horizontal="center" vertical="top"/>
    </xf>
    <xf numFmtId="0" fontId="125" fillId="93" borderId="19" xfId="55" applyFont="1" applyFill="1" applyBorder="1"/>
    <xf numFmtId="1" fontId="125" fillId="0" borderId="20" xfId="44" applyNumberFormat="1" applyFont="1" applyFill="1" applyBorder="1"/>
    <xf numFmtId="0" fontId="125" fillId="0" borderId="20" xfId="44" applyFont="1" applyFill="1" applyBorder="1"/>
    <xf numFmtId="0" fontId="125" fillId="0" borderId="20" xfId="44" applyFont="1" applyFill="1" applyBorder="1" applyAlignment="1">
      <alignment horizontal="center"/>
    </xf>
    <xf numFmtId="0" fontId="127" fillId="0" borderId="20" xfId="44" applyFont="1" applyFill="1" applyBorder="1" applyAlignment="1">
      <alignment horizontal="left"/>
    </xf>
    <xf numFmtId="3" fontId="125" fillId="0" borderId="20" xfId="3888" applyNumberFormat="1" applyFont="1" applyFill="1" applyBorder="1"/>
    <xf numFmtId="3" fontId="125" fillId="0" borderId="21" xfId="3888" applyNumberFormat="1" applyFont="1" applyFill="1" applyBorder="1"/>
    <xf numFmtId="1" fontId="125" fillId="0" borderId="85" xfId="44" applyNumberFormat="1" applyFont="1" applyFill="1" applyBorder="1" applyAlignment="1">
      <alignment horizontal="center"/>
    </xf>
    <xf numFmtId="0" fontId="0" fillId="40" borderId="27" xfId="0" applyFill="1" applyBorder="1" applyAlignment="1">
      <alignment horizontal="center"/>
    </xf>
    <xf numFmtId="0" fontId="0" fillId="40" borderId="35" xfId="0" applyFill="1" applyBorder="1" applyAlignment="1">
      <alignment horizontal="center"/>
    </xf>
    <xf numFmtId="0" fontId="128" fillId="40" borderId="35" xfId="0" applyFont="1" applyFill="1" applyBorder="1" applyAlignment="1">
      <alignment horizontal="center"/>
    </xf>
    <xf numFmtId="0" fontId="129" fillId="40" borderId="35" xfId="0" applyFont="1" applyFill="1" applyBorder="1" applyAlignment="1">
      <alignment horizontal="center"/>
    </xf>
    <xf numFmtId="3" fontId="130" fillId="94" borderId="22" xfId="3888" applyNumberFormat="1" applyFont="1" applyFill="1" applyBorder="1"/>
    <xf numFmtId="3" fontId="130" fillId="94" borderId="35" xfId="3888" applyNumberFormat="1" applyFont="1" applyFill="1" applyBorder="1"/>
    <xf numFmtId="1" fontId="125" fillId="0" borderId="82" xfId="44" applyNumberFormat="1" applyFont="1" applyFill="1" applyBorder="1"/>
    <xf numFmtId="3" fontId="125" fillId="0" borderId="1" xfId="3888" applyNumberFormat="1" applyFont="1" applyFill="1" applyBorder="1"/>
    <xf numFmtId="3" fontId="125" fillId="0" borderId="3" xfId="3889" applyNumberFormat="1" applyFont="1" applyFill="1" applyBorder="1"/>
    <xf numFmtId="0" fontId="125" fillId="0" borderId="62" xfId="44" applyFont="1" applyFill="1" applyBorder="1" applyAlignment="1">
      <alignment horizontal="center"/>
    </xf>
    <xf numFmtId="0" fontId="125" fillId="93" borderId="49" xfId="3888" applyFont="1" applyFill="1" applyBorder="1"/>
    <xf numFmtId="3" fontId="128" fillId="0" borderId="1" xfId="3888" applyNumberFormat="1" applyFont="1" applyFill="1" applyBorder="1"/>
    <xf numFmtId="3" fontId="125" fillId="0" borderId="2" xfId="3889" applyNumberFormat="1" applyFont="1" applyFill="1" applyBorder="1" applyAlignment="1"/>
    <xf numFmtId="3" fontId="125" fillId="0" borderId="99" xfId="3889" applyNumberFormat="1" applyFont="1" applyFill="1" applyBorder="1" applyAlignment="1"/>
    <xf numFmtId="3" fontId="128" fillId="0" borderId="2" xfId="3889" applyNumberFormat="1" applyFont="1" applyFill="1" applyBorder="1" applyAlignment="1"/>
    <xf numFmtId="3" fontId="125" fillId="0" borderId="10" xfId="3889" applyNumberFormat="1" applyFont="1" applyFill="1" applyBorder="1" applyAlignment="1"/>
    <xf numFmtId="3" fontId="128" fillId="0" borderId="10" xfId="3889" applyNumberFormat="1" applyFont="1" applyFill="1" applyBorder="1" applyAlignment="1"/>
    <xf numFmtId="1" fontId="128" fillId="0" borderId="62" xfId="44" applyNumberFormat="1" applyFont="1" applyFill="1" applyBorder="1" applyAlignment="1">
      <alignment horizontal="center"/>
    </xf>
    <xf numFmtId="0" fontId="125" fillId="93" borderId="49" xfId="3889" applyFont="1" applyFill="1" applyBorder="1"/>
    <xf numFmtId="3" fontId="125" fillId="0" borderId="1" xfId="3889" applyNumberFormat="1" applyFont="1" applyFill="1" applyBorder="1"/>
    <xf numFmtId="3" fontId="125" fillId="0" borderId="10" xfId="3889" applyNumberFormat="1" applyFont="1" applyFill="1" applyBorder="1"/>
    <xf numFmtId="0" fontId="128" fillId="0" borderId="62" xfId="44" applyFont="1" applyFill="1" applyBorder="1" applyAlignment="1">
      <alignment horizontal="center"/>
    </xf>
    <xf numFmtId="3" fontId="128" fillId="0" borderId="99" xfId="3889" applyNumberFormat="1" applyFont="1" applyFill="1" applyBorder="1" applyAlignment="1"/>
    <xf numFmtId="3" fontId="125" fillId="0" borderId="3" xfId="3888" applyNumberFormat="1" applyFont="1" applyFill="1" applyBorder="1"/>
    <xf numFmtId="3" fontId="128" fillId="0" borderId="3" xfId="3888" applyNumberFormat="1" applyFont="1" applyFill="1" applyBorder="1"/>
    <xf numFmtId="3" fontId="125" fillId="0" borderId="47" xfId="3888" applyNumberFormat="1" applyFont="1" applyFill="1" applyBorder="1"/>
    <xf numFmtId="0" fontId="125" fillId="93" borderId="102" xfId="3889" applyFont="1" applyFill="1" applyBorder="1"/>
    <xf numFmtId="3" fontId="125" fillId="0" borderId="47" xfId="3889" applyNumberFormat="1" applyFont="1" applyFill="1" applyBorder="1"/>
    <xf numFmtId="0" fontId="125" fillId="0" borderId="67" xfId="44" applyFont="1" applyFill="1" applyBorder="1" applyAlignment="1">
      <alignment horizontal="center"/>
    </xf>
    <xf numFmtId="3" fontId="125" fillId="0" borderId="1" xfId="3889" applyNumberFormat="1" applyFont="1" applyFill="1" applyBorder="1" applyAlignment="1"/>
    <xf numFmtId="0" fontId="131" fillId="0" borderId="0" xfId="0" applyFont="1" applyFill="1"/>
    <xf numFmtId="3" fontId="128" fillId="0" borderId="10" xfId="3888" applyNumberFormat="1" applyFont="1" applyFill="1" applyBorder="1"/>
    <xf numFmtId="0" fontId="125" fillId="0" borderId="10" xfId="3888" applyFont="1" applyFill="1" applyBorder="1"/>
    <xf numFmtId="0" fontId="132" fillId="0" borderId="0" xfId="0" applyFont="1" applyFill="1"/>
    <xf numFmtId="3" fontId="128" fillId="0" borderId="1" xfId="3889" applyNumberFormat="1" applyFont="1" applyFill="1" applyBorder="1"/>
    <xf numFmtId="3" fontId="128" fillId="0" borderId="10" xfId="3889" applyNumberFormat="1" applyFont="1" applyFill="1" applyBorder="1"/>
    <xf numFmtId="3" fontId="125" fillId="0" borderId="47" xfId="3889" applyNumberFormat="1" applyFont="1" applyFill="1" applyBorder="1" applyAlignment="1"/>
    <xf numFmtId="3" fontId="128" fillId="0" borderId="47" xfId="3888" applyNumberFormat="1" applyFont="1" applyFill="1" applyBorder="1"/>
    <xf numFmtId="3" fontId="128" fillId="0" borderId="3" xfId="3889" applyNumberFormat="1" applyFont="1" applyFill="1" applyBorder="1"/>
    <xf numFmtId="3" fontId="125" fillId="0" borderId="2" xfId="3888" applyNumberFormat="1" applyFont="1" applyFill="1" applyBorder="1"/>
    <xf numFmtId="3" fontId="125" fillId="0" borderId="99" xfId="3888" applyNumberFormat="1" applyFont="1" applyFill="1" applyBorder="1"/>
    <xf numFmtId="3" fontId="128" fillId="0" borderId="1" xfId="3889" applyNumberFormat="1" applyFont="1" applyFill="1" applyBorder="1" applyAlignment="1"/>
    <xf numFmtId="0" fontId="126" fillId="0" borderId="68" xfId="44" applyFont="1" applyFill="1" applyBorder="1" applyAlignment="1">
      <alignment horizontal="center" vertical="center"/>
    </xf>
    <xf numFmtId="3" fontId="128" fillId="0" borderId="47" xfId="3889" applyNumberFormat="1" applyFont="1" applyFill="1" applyBorder="1"/>
    <xf numFmtId="0" fontId="128" fillId="0" borderId="10" xfId="3888" applyFont="1" applyFill="1" applyBorder="1"/>
    <xf numFmtId="0" fontId="126" fillId="35" borderId="68" xfId="44" applyFont="1" applyFill="1" applyBorder="1" applyAlignment="1">
      <alignment horizontal="center" vertical="top"/>
    </xf>
    <xf numFmtId="0" fontId="125" fillId="35" borderId="68" xfId="3888" applyFont="1" applyFill="1" applyBorder="1"/>
    <xf numFmtId="0" fontId="125" fillId="35" borderId="17" xfId="3889" applyFont="1" applyFill="1" applyBorder="1"/>
    <xf numFmtId="0" fontId="133" fillId="35" borderId="17" xfId="44" applyFont="1" applyFill="1" applyBorder="1"/>
    <xf numFmtId="0" fontId="125" fillId="0" borderId="17" xfId="44" applyFont="1" applyFill="1" applyBorder="1"/>
    <xf numFmtId="0" fontId="133" fillId="35" borderId="17" xfId="44" applyFont="1" applyFill="1" applyBorder="1" applyAlignment="1">
      <alignment horizontal="center"/>
    </xf>
    <xf numFmtId="10" fontId="134" fillId="35" borderId="17" xfId="44" applyNumberFormat="1" applyFont="1" applyFill="1" applyBorder="1" applyAlignment="1">
      <alignment horizontal="left"/>
    </xf>
    <xf numFmtId="3" fontId="125" fillId="35" borderId="1" xfId="3889" applyNumberFormat="1" applyFont="1" applyFill="1" applyBorder="1" applyAlignment="1"/>
    <xf numFmtId="1" fontId="125" fillId="35" borderId="70" xfId="44" applyNumberFormat="1" applyFont="1" applyFill="1" applyBorder="1"/>
    <xf numFmtId="3" fontId="125" fillId="35" borderId="2" xfId="3889" applyNumberFormat="1" applyFont="1" applyFill="1" applyBorder="1" applyAlignment="1"/>
    <xf numFmtId="0" fontId="126" fillId="35" borderId="71" xfId="44" applyFont="1" applyFill="1" applyBorder="1" applyAlignment="1">
      <alignment horizontal="center" vertical="top"/>
    </xf>
    <xf numFmtId="0" fontId="125" fillId="35" borderId="71" xfId="3888" applyFont="1" applyFill="1" applyBorder="1"/>
    <xf numFmtId="0" fontId="125" fillId="35" borderId="94" xfId="3889" applyFont="1" applyFill="1" applyBorder="1"/>
    <xf numFmtId="0" fontId="133" fillId="35" borderId="94" xfId="44" applyFont="1" applyFill="1" applyBorder="1"/>
    <xf numFmtId="0" fontId="125" fillId="0" borderId="94" xfId="44" applyFont="1" applyFill="1" applyBorder="1"/>
    <xf numFmtId="0" fontId="133" fillId="35" borderId="94" xfId="44" applyFont="1" applyFill="1" applyBorder="1" applyAlignment="1">
      <alignment horizontal="center"/>
    </xf>
    <xf numFmtId="10" fontId="134" fillId="35" borderId="94" xfId="44" applyNumberFormat="1" applyFont="1" applyFill="1" applyBorder="1" applyAlignment="1">
      <alignment horizontal="left"/>
    </xf>
    <xf numFmtId="3" fontId="125" fillId="35" borderId="5" xfId="3889" applyNumberFormat="1" applyFont="1" applyFill="1" applyBorder="1" applyAlignment="1"/>
    <xf numFmtId="3" fontId="135" fillId="35" borderId="5" xfId="3889" applyNumberFormat="1" applyFont="1" applyFill="1" applyBorder="1" applyAlignment="1"/>
    <xf numFmtId="3" fontId="130" fillId="35" borderId="22" xfId="3889" applyNumberFormat="1" applyFont="1" applyFill="1" applyBorder="1" applyAlignment="1"/>
    <xf numFmtId="1" fontId="125" fillId="35" borderId="72" xfId="44" applyNumberFormat="1" applyFont="1" applyFill="1" applyBorder="1"/>
    <xf numFmtId="3" fontId="125" fillId="0" borderId="0" xfId="0" applyNumberFormat="1" applyFont="1" applyFill="1"/>
    <xf numFmtId="0" fontId="126" fillId="35" borderId="52" xfId="44" applyFont="1" applyFill="1" applyBorder="1" applyAlignment="1">
      <alignment horizontal="center" vertical="top"/>
    </xf>
    <xf numFmtId="0" fontId="125" fillId="35" borderId="48" xfId="3888" applyFont="1" applyFill="1" applyBorder="1"/>
    <xf numFmtId="0" fontId="125" fillId="35" borderId="48" xfId="3889" applyFont="1" applyFill="1" applyBorder="1"/>
    <xf numFmtId="0" fontId="128" fillId="95" borderId="48" xfId="44" applyFont="1" applyFill="1" applyBorder="1"/>
    <xf numFmtId="0" fontId="125" fillId="95" borderId="48" xfId="44" applyFont="1" applyFill="1" applyBorder="1"/>
    <xf numFmtId="0" fontId="133" fillId="95" borderId="48" xfId="44" applyFont="1" applyFill="1" applyBorder="1"/>
    <xf numFmtId="0" fontId="133" fillId="95" borderId="48" xfId="44" applyFont="1" applyFill="1" applyBorder="1" applyAlignment="1">
      <alignment horizontal="center"/>
    </xf>
    <xf numFmtId="10" fontId="134" fillId="95" borderId="48" xfId="44" applyNumberFormat="1" applyFont="1" applyFill="1" applyBorder="1" applyAlignment="1">
      <alignment horizontal="left"/>
    </xf>
    <xf numFmtId="3" fontId="128" fillId="0" borderId="29" xfId="3889" applyNumberFormat="1" applyFont="1" applyFill="1" applyBorder="1" applyAlignment="1"/>
    <xf numFmtId="3" fontId="128" fillId="0" borderId="35" xfId="3889" applyNumberFormat="1" applyFont="1" applyFill="1" applyBorder="1" applyAlignment="1"/>
    <xf numFmtId="1" fontId="125" fillId="35" borderId="53" xfId="44" applyNumberFormat="1" applyFont="1" applyFill="1" applyBorder="1"/>
    <xf numFmtId="0" fontId="126" fillId="0" borderId="49" xfId="44" applyFont="1" applyFill="1" applyBorder="1" applyAlignment="1">
      <alignment horizontal="center" vertical="top"/>
    </xf>
    <xf numFmtId="0" fontId="125" fillId="93" borderId="1" xfId="3888" applyFont="1" applyFill="1" applyBorder="1"/>
    <xf numFmtId="0" fontId="126" fillId="35" borderId="13" xfId="44" applyFont="1" applyFill="1" applyBorder="1" applyAlignment="1">
      <alignment horizontal="center" vertical="top"/>
    </xf>
    <xf numFmtId="0" fontId="125" fillId="35" borderId="5" xfId="3888" applyFont="1" applyFill="1" applyBorder="1"/>
    <xf numFmtId="0" fontId="125" fillId="35" borderId="5" xfId="3889" applyFont="1" applyFill="1" applyBorder="1"/>
    <xf numFmtId="0" fontId="133" fillId="35" borderId="5" xfId="44" applyFont="1" applyFill="1" applyBorder="1"/>
    <xf numFmtId="0" fontId="125" fillId="0" borderId="5" xfId="44" applyFont="1" applyFill="1" applyBorder="1"/>
    <xf numFmtId="0" fontId="133" fillId="35" borderId="5" xfId="44" applyFont="1" applyFill="1" applyBorder="1" applyAlignment="1">
      <alignment horizontal="center"/>
    </xf>
    <xf numFmtId="10" fontId="134" fillId="35" borderId="5" xfId="44" applyNumberFormat="1" applyFont="1" applyFill="1" applyBorder="1" applyAlignment="1">
      <alignment horizontal="left"/>
    </xf>
    <xf numFmtId="3" fontId="125" fillId="35" borderId="14" xfId="3889" applyNumberFormat="1" applyFont="1" applyFill="1" applyBorder="1" applyAlignment="1"/>
    <xf numFmtId="1" fontId="125" fillId="35" borderId="97" xfId="44" applyNumberFormat="1" applyFont="1" applyFill="1" applyBorder="1"/>
    <xf numFmtId="0" fontId="125" fillId="0" borderId="0" xfId="0" applyFont="1" applyFill="1" applyAlignment="1">
      <alignment horizontal="center"/>
    </xf>
    <xf numFmtId="0" fontId="125" fillId="0" borderId="0" xfId="0" applyFont="1" applyFill="1" applyAlignment="1">
      <alignment horizontal="left"/>
    </xf>
    <xf numFmtId="0" fontId="136" fillId="0" borderId="0" xfId="0" applyFont="1" applyAlignment="1">
      <alignment wrapText="1"/>
    </xf>
    <xf numFmtId="0" fontId="0" fillId="0" borderId="1" xfId="0" applyFill="1" applyBorder="1"/>
    <xf numFmtId="0" fontId="29" fillId="40" borderId="1" xfId="0" applyFont="1" applyFill="1" applyBorder="1" applyAlignment="1">
      <alignment horizontal="center" vertical="center"/>
    </xf>
    <xf numFmtId="3" fontId="10" fillId="0" borderId="1" xfId="3890" applyNumberFormat="1" applyFont="1" applyFill="1" applyBorder="1"/>
    <xf numFmtId="3" fontId="10" fillId="40" borderId="1" xfId="3890" applyNumberFormat="1" applyFont="1" applyFill="1" applyBorder="1"/>
    <xf numFmtId="3" fontId="10" fillId="40" borderId="0" xfId="3890" applyNumberFormat="1" applyFont="1" applyFill="1" applyBorder="1"/>
    <xf numFmtId="2" fontId="0" fillId="40" borderId="0" xfId="0" applyNumberFormat="1" applyFill="1"/>
    <xf numFmtId="2" fontId="0" fillId="0" borderId="0" xfId="0" applyNumberFormat="1" applyFill="1"/>
    <xf numFmtId="2" fontId="31" fillId="0" borderId="1" xfId="0" applyNumberFormat="1" applyFont="1" applyBorder="1"/>
    <xf numFmtId="2" fontId="31" fillId="0" borderId="1" xfId="0" applyNumberFormat="1" applyFont="1" applyFill="1" applyBorder="1"/>
    <xf numFmtId="2" fontId="31" fillId="0" borderId="0" xfId="0" applyNumberFormat="1" applyFont="1" applyBorder="1"/>
    <xf numFmtId="3" fontId="109" fillId="0" borderId="2" xfId="0" applyNumberFormat="1" applyFont="1" applyFill="1" applyBorder="1"/>
    <xf numFmtId="171" fontId="46" fillId="0" borderId="2" xfId="0" applyNumberFormat="1" applyFont="1" applyFill="1" applyBorder="1" applyAlignment="1">
      <alignment horizontal="center" vertical="center" textRotation="90" wrapText="1"/>
    </xf>
    <xf numFmtId="171" fontId="46" fillId="0" borderId="0" xfId="0" applyNumberFormat="1" applyFont="1" applyFill="1" applyBorder="1" applyAlignment="1">
      <alignment horizontal="center" vertical="center" textRotation="90" wrapText="1"/>
    </xf>
    <xf numFmtId="0" fontId="120" fillId="0" borderId="6" xfId="0" applyFont="1" applyFill="1" applyBorder="1" applyAlignment="1">
      <alignment horizontal="center" wrapText="1"/>
    </xf>
    <xf numFmtId="0" fontId="120" fillId="0" borderId="8" xfId="0" applyFont="1" applyFill="1" applyBorder="1" applyAlignment="1">
      <alignment horizontal="center" wrapText="1"/>
    </xf>
    <xf numFmtId="0" fontId="120" fillId="0" borderId="103" xfId="0" applyFont="1" applyFill="1" applyBorder="1" applyAlignment="1">
      <alignment horizontal="center" wrapText="1"/>
    </xf>
    <xf numFmtId="0" fontId="120" fillId="0" borderId="22" xfId="0" applyFont="1" applyFill="1" applyBorder="1" applyAlignment="1">
      <alignment horizontal="center" wrapText="1"/>
    </xf>
    <xf numFmtId="0" fontId="0" fillId="0" borderId="3" xfId="0" applyBorder="1" applyAlignment="1">
      <alignment horizontal="center" vertical="center" textRotation="90" wrapText="1"/>
    </xf>
    <xf numFmtId="0" fontId="0" fillId="0" borderId="3" xfId="0" applyBorder="1" applyAlignment="1">
      <alignment horizontal="center" vertical="center" wrapText="1"/>
    </xf>
    <xf numFmtId="0" fontId="138" fillId="0" borderId="3" xfId="0" applyFont="1" applyBorder="1" applyAlignment="1">
      <alignment horizontal="center" vertical="center" textRotation="90" wrapText="1"/>
    </xf>
    <xf numFmtId="0" fontId="120" fillId="0" borderId="0" xfId="0" applyFont="1" applyBorder="1" applyAlignment="1">
      <alignment horizontal="center"/>
    </xf>
    <xf numFmtId="0" fontId="120" fillId="0" borderId="0" xfId="0" applyFont="1" applyFill="1" applyBorder="1" applyAlignment="1"/>
    <xf numFmtId="0" fontId="120" fillId="0" borderId="0" xfId="0" applyFont="1" applyFill="1" applyBorder="1" applyAlignment="1">
      <alignment horizontal="center"/>
    </xf>
    <xf numFmtId="0" fontId="0" fillId="0" borderId="4" xfId="0" applyBorder="1" applyAlignment="1">
      <alignment horizontal="center" vertical="center" textRotation="90" wrapText="1"/>
    </xf>
    <xf numFmtId="0" fontId="0" fillId="0" borderId="4" xfId="0" applyBorder="1" applyAlignment="1">
      <alignment horizontal="center" vertical="center" wrapText="1"/>
    </xf>
    <xf numFmtId="0" fontId="138" fillId="0" borderId="4" xfId="0" applyFont="1" applyBorder="1" applyAlignment="1">
      <alignment horizontal="center" vertical="center" textRotation="90" wrapText="1"/>
    </xf>
    <xf numFmtId="2" fontId="139" fillId="0" borderId="50" xfId="0" applyNumberFormat="1" applyFont="1" applyFill="1" applyBorder="1" applyAlignment="1">
      <alignment vertical="top"/>
    </xf>
    <xf numFmtId="2" fontId="139" fillId="0" borderId="82" xfId="0" applyNumberFormat="1" applyFont="1" applyFill="1" applyBorder="1" applyAlignment="1">
      <alignment vertical="top"/>
    </xf>
    <xf numFmtId="0" fontId="75" fillId="0" borderId="57" xfId="0" applyFont="1" applyFill="1" applyBorder="1" applyAlignment="1">
      <alignment vertical="top"/>
    </xf>
    <xf numFmtId="0" fontId="75" fillId="0" borderId="82" xfId="0" applyFont="1" applyFill="1" applyBorder="1" applyAlignment="1">
      <alignment vertical="top"/>
    </xf>
    <xf numFmtId="0" fontId="76" fillId="0" borderId="57" xfId="0" applyFont="1" applyFill="1" applyBorder="1" applyAlignment="1">
      <alignment vertical="top"/>
    </xf>
    <xf numFmtId="0" fontId="76" fillId="0" borderId="82" xfId="0" applyFont="1" applyFill="1" applyBorder="1" applyAlignment="1">
      <alignment vertical="top"/>
    </xf>
    <xf numFmtId="0" fontId="76" fillId="0" borderId="50" xfId="0" applyFont="1" applyFill="1" applyBorder="1" applyAlignment="1">
      <alignment vertical="top"/>
    </xf>
    <xf numFmtId="0" fontId="76" fillId="0" borderId="35" xfId="0" applyFont="1" applyFill="1" applyBorder="1" applyAlignment="1">
      <alignment vertical="top"/>
    </xf>
    <xf numFmtId="0" fontId="31" fillId="0" borderId="1" xfId="0" applyFont="1" applyFill="1" applyBorder="1" applyAlignment="1">
      <alignment vertical="top"/>
    </xf>
    <xf numFmtId="0" fontId="0" fillId="0" borderId="1" xfId="0" applyFill="1" applyBorder="1" applyAlignment="1">
      <alignment vertical="top"/>
    </xf>
    <xf numFmtId="0" fontId="31" fillId="94" borderId="1" xfId="0" applyFont="1" applyFill="1" applyBorder="1" applyAlignment="1">
      <alignment vertical="top"/>
    </xf>
    <xf numFmtId="0" fontId="31" fillId="0" borderId="1" xfId="0" applyFont="1" applyFill="1" applyBorder="1" applyAlignment="1">
      <alignment vertical="top" wrapText="1"/>
    </xf>
    <xf numFmtId="0" fontId="138" fillId="0" borderId="1" xfId="0" applyFont="1" applyFill="1" applyBorder="1" applyAlignment="1">
      <alignment horizontal="center" vertical="top"/>
    </xf>
    <xf numFmtId="0" fontId="31" fillId="0" borderId="10" xfId="0" applyFont="1" applyFill="1" applyBorder="1" applyAlignment="1">
      <alignment vertical="top" wrapText="1"/>
    </xf>
    <xf numFmtId="0" fontId="31" fillId="0" borderId="49" xfId="0" applyFont="1" applyFill="1" applyBorder="1" applyAlignment="1">
      <alignment vertical="top"/>
    </xf>
    <xf numFmtId="0" fontId="31" fillId="0" borderId="62" xfId="0" applyFont="1" applyFill="1" applyBorder="1" applyAlignment="1">
      <alignment vertical="top"/>
    </xf>
    <xf numFmtId="0" fontId="31" fillId="0" borderId="49" xfId="0" applyFont="1" applyFill="1" applyBorder="1" applyAlignment="1">
      <alignment vertical="top" wrapText="1"/>
    </xf>
    <xf numFmtId="0" fontId="31" fillId="0" borderId="62" xfId="0" applyFont="1" applyFill="1" applyBorder="1" applyAlignment="1">
      <alignment vertical="top" wrapText="1"/>
    </xf>
    <xf numFmtId="0" fontId="31" fillId="0" borderId="69" xfId="0" applyFont="1" applyFill="1" applyBorder="1" applyAlignment="1">
      <alignment vertical="top"/>
    </xf>
    <xf numFmtId="0" fontId="31" fillId="0" borderId="17" xfId="0" applyFont="1" applyFill="1" applyBorder="1" applyAlignment="1">
      <alignment vertical="top"/>
    </xf>
    <xf numFmtId="0" fontId="31" fillId="0" borderId="69" xfId="0" applyFont="1" applyFill="1" applyBorder="1" applyAlignment="1">
      <alignment vertical="top" wrapText="1"/>
    </xf>
    <xf numFmtId="0" fontId="136" fillId="0" borderId="0" xfId="0" applyFont="1" applyFill="1" applyAlignment="1">
      <alignment wrapText="1"/>
    </xf>
    <xf numFmtId="0" fontId="0" fillId="0" borderId="1" xfId="0" applyBorder="1" applyAlignment="1">
      <alignment vertical="top"/>
    </xf>
    <xf numFmtId="0" fontId="31" fillId="0" borderId="1" xfId="0" applyFont="1" applyBorder="1" applyAlignment="1">
      <alignment vertical="top"/>
    </xf>
    <xf numFmtId="0" fontId="31" fillId="96" borderId="1" xfId="0" applyFont="1" applyFill="1" applyBorder="1" applyAlignment="1">
      <alignment vertical="top"/>
    </xf>
    <xf numFmtId="0" fontId="31" fillId="0" borderId="1" xfId="0" applyFont="1" applyBorder="1" applyAlignment="1">
      <alignment vertical="top" wrapText="1"/>
    </xf>
    <xf numFmtId="0" fontId="0" fillId="0" borderId="10" xfId="0" applyFill="1" applyBorder="1" applyAlignment="1">
      <alignment vertical="top" wrapText="1"/>
    </xf>
    <xf numFmtId="0" fontId="31" fillId="0" borderId="17" xfId="0" applyFont="1" applyFill="1" applyBorder="1" applyAlignment="1">
      <alignment vertical="top" wrapText="1"/>
    </xf>
    <xf numFmtId="0" fontId="31" fillId="93" borderId="1" xfId="0" applyFont="1" applyFill="1" applyBorder="1" applyAlignment="1">
      <alignment vertical="top"/>
    </xf>
    <xf numFmtId="0" fontId="31" fillId="0" borderId="10" xfId="0" applyFont="1" applyFill="1" applyBorder="1" applyAlignment="1">
      <alignment vertical="top"/>
    </xf>
    <xf numFmtId="0" fontId="31" fillId="97" borderId="1" xfId="0" applyFont="1" applyFill="1" applyBorder="1" applyAlignment="1">
      <alignment vertical="top"/>
    </xf>
    <xf numFmtId="2" fontId="31" fillId="0" borderId="49" xfId="0" applyNumberFormat="1" applyFont="1" applyFill="1" applyBorder="1" applyAlignment="1">
      <alignment vertical="top"/>
    </xf>
    <xf numFmtId="2" fontId="31" fillId="0" borderId="62" xfId="0" applyNumberFormat="1" applyFont="1" applyFill="1" applyBorder="1" applyAlignment="1">
      <alignment vertical="top"/>
    </xf>
    <xf numFmtId="0" fontId="31" fillId="0" borderId="84" xfId="0" applyFont="1" applyFill="1" applyBorder="1" applyAlignment="1">
      <alignment vertical="top"/>
    </xf>
    <xf numFmtId="0" fontId="31" fillId="0" borderId="62" xfId="0" applyFont="1" applyFill="1" applyBorder="1"/>
    <xf numFmtId="0" fontId="0" fillId="93" borderId="1" xfId="0" applyFill="1" applyBorder="1" applyAlignment="1">
      <alignment vertical="top"/>
    </xf>
    <xf numFmtId="0" fontId="0" fillId="0" borderId="1" xfId="0" applyBorder="1" applyAlignment="1">
      <alignment vertical="top" wrapText="1"/>
    </xf>
    <xf numFmtId="167" fontId="31" fillId="0" borderId="49" xfId="0" applyNumberFormat="1" applyFont="1" applyFill="1" applyBorder="1" applyAlignment="1">
      <alignment vertical="top" wrapText="1"/>
    </xf>
    <xf numFmtId="2" fontId="31" fillId="0" borderId="62" xfId="0" applyNumberFormat="1" applyFont="1" applyFill="1" applyBorder="1" applyAlignment="1">
      <alignment vertical="top" wrapText="1"/>
    </xf>
    <xf numFmtId="2" fontId="31" fillId="0" borderId="49" xfId="0" applyNumberFormat="1" applyFont="1" applyFill="1" applyBorder="1" applyAlignment="1">
      <alignment vertical="top" wrapText="1"/>
    </xf>
    <xf numFmtId="2" fontId="31" fillId="0" borderId="69" xfId="0" applyNumberFormat="1" applyFont="1" applyFill="1" applyBorder="1" applyAlignment="1">
      <alignment vertical="top" wrapText="1"/>
    </xf>
    <xf numFmtId="2" fontId="31" fillId="0" borderId="17" xfId="0" applyNumberFormat="1" applyFont="1" applyFill="1" applyBorder="1" applyAlignment="1">
      <alignment vertical="top" wrapText="1"/>
    </xf>
    <xf numFmtId="0" fontId="31" fillId="0" borderId="0" xfId="0" applyFont="1" applyFill="1" applyBorder="1" applyAlignment="1">
      <alignment vertical="top" wrapText="1"/>
    </xf>
    <xf numFmtId="2" fontId="31" fillId="0" borderId="0" xfId="0" applyNumberFormat="1" applyFont="1" applyFill="1"/>
    <xf numFmtId="0" fontId="31" fillId="0" borderId="0" xfId="0" applyFont="1" applyFill="1"/>
    <xf numFmtId="0" fontId="0" fillId="43" borderId="0" xfId="0" applyFill="1"/>
    <xf numFmtId="0" fontId="31" fillId="43" borderId="1" xfId="0" applyFont="1" applyFill="1" applyBorder="1" applyAlignment="1">
      <alignment vertical="top"/>
    </xf>
    <xf numFmtId="0" fontId="0" fillId="43" borderId="1" xfId="0" applyFill="1" applyBorder="1" applyAlignment="1">
      <alignment vertical="top"/>
    </xf>
    <xf numFmtId="0" fontId="31" fillId="43" borderId="1" xfId="0" applyFont="1" applyFill="1" applyBorder="1" applyAlignment="1">
      <alignment vertical="top" wrapText="1"/>
    </xf>
    <xf numFmtId="0" fontId="138" fillId="43" borderId="1" xfId="0" applyFont="1" applyFill="1" applyBorder="1" applyAlignment="1">
      <alignment horizontal="center" vertical="top"/>
    </xf>
    <xf numFmtId="0" fontId="31" fillId="43" borderId="10" xfId="0" applyFont="1" applyFill="1" applyBorder="1" applyAlignment="1">
      <alignment vertical="top" wrapText="1"/>
    </xf>
    <xf numFmtId="0" fontId="31" fillId="43" borderId="49" xfId="0" applyFont="1" applyFill="1" applyBorder="1" applyAlignment="1">
      <alignment vertical="top" wrapText="1"/>
    </xf>
    <xf numFmtId="0" fontId="31" fillId="43" borderId="62" xfId="0" applyFont="1" applyFill="1" applyBorder="1" applyAlignment="1">
      <alignment vertical="top" wrapText="1"/>
    </xf>
    <xf numFmtId="2" fontId="31" fillId="43" borderId="69" xfId="0" applyNumberFormat="1" applyFont="1" applyFill="1" applyBorder="1" applyAlignment="1">
      <alignment vertical="top" wrapText="1"/>
    </xf>
    <xf numFmtId="2" fontId="31" fillId="43" borderId="17" xfId="0" applyNumberFormat="1" applyFont="1" applyFill="1" applyBorder="1" applyAlignment="1">
      <alignment vertical="top" wrapText="1"/>
    </xf>
    <xf numFmtId="0" fontId="0" fillId="97" borderId="1" xfId="0" applyFill="1" applyBorder="1" applyAlignment="1">
      <alignment vertical="top"/>
    </xf>
    <xf numFmtId="0" fontId="31" fillId="43" borderId="10" xfId="0" applyFont="1" applyFill="1" applyBorder="1" applyAlignment="1">
      <alignment vertical="top"/>
    </xf>
    <xf numFmtId="0" fontId="31" fillId="43" borderId="49" xfId="0" applyFont="1" applyFill="1" applyBorder="1" applyAlignment="1">
      <alignment vertical="top"/>
    </xf>
    <xf numFmtId="0" fontId="31" fillId="43" borderId="62" xfId="0" applyFont="1" applyFill="1" applyBorder="1" applyAlignment="1">
      <alignment vertical="top"/>
    </xf>
    <xf numFmtId="0" fontId="31" fillId="43" borderId="84" xfId="0" applyFont="1" applyFill="1" applyBorder="1" applyAlignment="1">
      <alignment vertical="top"/>
    </xf>
    <xf numFmtId="0" fontId="31" fillId="43" borderId="62" xfId="0" applyFont="1" applyFill="1" applyBorder="1"/>
    <xf numFmtId="0" fontId="31" fillId="43" borderId="69" xfId="0" applyFont="1" applyFill="1" applyBorder="1" applyAlignment="1">
      <alignment vertical="top"/>
    </xf>
    <xf numFmtId="0" fontId="31" fillId="43" borderId="17" xfId="0" applyFont="1" applyFill="1" applyBorder="1" applyAlignment="1">
      <alignment vertical="top"/>
    </xf>
    <xf numFmtId="0" fontId="31" fillId="43" borderId="69" xfId="0" applyFont="1" applyFill="1" applyBorder="1" applyAlignment="1">
      <alignment vertical="top" wrapText="1"/>
    </xf>
    <xf numFmtId="0" fontId="31" fillId="43" borderId="17" xfId="0" applyFont="1" applyFill="1" applyBorder="1" applyAlignment="1">
      <alignment vertical="top" wrapText="1"/>
    </xf>
    <xf numFmtId="0" fontId="0" fillId="43" borderId="1" xfId="0" applyFill="1" applyBorder="1" applyAlignment="1">
      <alignment vertical="top" wrapText="1"/>
    </xf>
    <xf numFmtId="0" fontId="0" fillId="0" borderId="1" xfId="0" applyFill="1" applyBorder="1" applyAlignment="1">
      <alignment vertical="top" wrapText="1"/>
    </xf>
    <xf numFmtId="0" fontId="31" fillId="0" borderId="55" xfId="0" applyFont="1" applyFill="1" applyBorder="1" applyAlignment="1">
      <alignment vertical="top" wrapText="1"/>
    </xf>
    <xf numFmtId="0" fontId="30" fillId="0" borderId="1" xfId="0" applyFont="1" applyBorder="1"/>
    <xf numFmtId="0" fontId="31" fillId="0" borderId="10" xfId="0" applyFont="1" applyBorder="1"/>
    <xf numFmtId="0" fontId="31" fillId="0" borderId="49" xfId="0" applyFont="1" applyBorder="1"/>
    <xf numFmtId="0" fontId="31" fillId="0" borderId="62" xfId="0" applyFont="1" applyBorder="1"/>
    <xf numFmtId="0" fontId="31" fillId="0" borderId="49" xfId="0" applyFont="1" applyFill="1" applyBorder="1"/>
    <xf numFmtId="0" fontId="31" fillId="0" borderId="69" xfId="0" applyFont="1" applyBorder="1"/>
    <xf numFmtId="0" fontId="31" fillId="0" borderId="17" xfId="0" applyFont="1" applyBorder="1"/>
    <xf numFmtId="0" fontId="31" fillId="0" borderId="0" xfId="0" applyFont="1" applyFill="1" applyBorder="1" applyAlignment="1">
      <alignment vertical="top"/>
    </xf>
    <xf numFmtId="0" fontId="30" fillId="0" borderId="0" xfId="0" applyFont="1" applyFill="1" applyBorder="1" applyAlignment="1">
      <alignment vertical="top"/>
    </xf>
    <xf numFmtId="0" fontId="30" fillId="0" borderId="0" xfId="0" applyFont="1" applyBorder="1" applyAlignment="1">
      <alignment vertical="top"/>
    </xf>
    <xf numFmtId="0" fontId="30" fillId="0" borderId="0" xfId="0" applyFont="1" applyBorder="1" applyAlignment="1">
      <alignment vertical="top" wrapText="1"/>
    </xf>
    <xf numFmtId="0" fontId="138" fillId="0" borderId="0" xfId="0" applyFont="1" applyFill="1" applyBorder="1" applyAlignment="1">
      <alignment horizontal="center" vertical="top"/>
    </xf>
    <xf numFmtId="0" fontId="30" fillId="0" borderId="0" xfId="0" applyFont="1" applyFill="1" applyBorder="1" applyAlignment="1">
      <alignment vertical="top" wrapText="1"/>
    </xf>
    <xf numFmtId="0" fontId="29" fillId="43" borderId="0" xfId="0" applyFont="1" applyFill="1"/>
    <xf numFmtId="2" fontId="31" fillId="43" borderId="49" xfId="0" applyNumberFormat="1" applyFont="1" applyFill="1" applyBorder="1" applyAlignment="1">
      <alignment vertical="top" wrapText="1"/>
    </xf>
    <xf numFmtId="2" fontId="31" fillId="43" borderId="62" xfId="0" applyNumberFormat="1" applyFont="1" applyFill="1" applyBorder="1" applyAlignment="1">
      <alignment vertical="top" wrapText="1"/>
    </xf>
    <xf numFmtId="0" fontId="31" fillId="43" borderId="0" xfId="0" applyFont="1" applyFill="1" applyBorder="1" applyAlignment="1">
      <alignment vertical="top"/>
    </xf>
    <xf numFmtId="0" fontId="31" fillId="0" borderId="69" xfId="0" applyFont="1" applyFill="1" applyBorder="1"/>
    <xf numFmtId="0" fontId="31" fillId="0" borderId="102" xfId="0" applyFont="1" applyFill="1" applyBorder="1" applyAlignment="1">
      <alignment vertical="top"/>
    </xf>
    <xf numFmtId="0" fontId="0" fillId="94" borderId="1" xfId="0" applyFill="1" applyBorder="1" applyAlignment="1">
      <alignment vertical="top"/>
    </xf>
    <xf numFmtId="0" fontId="31" fillId="0" borderId="17" xfId="0" applyFont="1" applyFill="1" applyBorder="1"/>
    <xf numFmtId="0" fontId="31" fillId="97" borderId="18" xfId="0" applyFont="1" applyFill="1" applyBorder="1" applyAlignment="1">
      <alignment vertical="top"/>
    </xf>
    <xf numFmtId="0" fontId="0" fillId="43" borderId="10" xfId="0" applyFill="1" applyBorder="1" applyAlignment="1">
      <alignment vertical="top"/>
    </xf>
    <xf numFmtId="2" fontId="140" fillId="43" borderId="17" xfId="0" applyNumberFormat="1" applyFont="1" applyFill="1" applyBorder="1" applyAlignment="1">
      <alignment vertical="top" wrapText="1"/>
    </xf>
    <xf numFmtId="0" fontId="0" fillId="43" borderId="10" xfId="0" applyFill="1" applyBorder="1" applyAlignment="1">
      <alignment vertical="top" wrapText="1"/>
    </xf>
    <xf numFmtId="0" fontId="140" fillId="43" borderId="17" xfId="0" applyFont="1" applyFill="1" applyBorder="1" applyAlignment="1">
      <alignment vertical="top" wrapText="1"/>
    </xf>
    <xf numFmtId="0" fontId="140" fillId="43" borderId="17" xfId="0" applyFont="1" applyFill="1" applyBorder="1" applyAlignment="1">
      <alignment vertical="top"/>
    </xf>
    <xf numFmtId="0" fontId="31" fillId="93" borderId="18" xfId="0" applyFont="1" applyFill="1" applyBorder="1" applyAlignment="1">
      <alignment vertical="top"/>
    </xf>
    <xf numFmtId="0" fontId="31" fillId="43" borderId="55" xfId="0" applyFont="1" applyFill="1" applyBorder="1" applyAlignment="1">
      <alignment vertical="top"/>
    </xf>
    <xf numFmtId="0" fontId="0" fillId="0" borderId="62" xfId="0" applyFill="1" applyBorder="1" applyAlignment="1">
      <alignment vertical="top"/>
    </xf>
    <xf numFmtId="0" fontId="0" fillId="0" borderId="10" xfId="0" applyFill="1" applyBorder="1" applyAlignment="1">
      <alignment vertical="top"/>
    </xf>
    <xf numFmtId="0" fontId="140" fillId="0" borderId="17" xfId="0" applyFont="1" applyFill="1" applyBorder="1" applyAlignment="1">
      <alignment vertical="top"/>
    </xf>
    <xf numFmtId="0" fontId="31" fillId="0" borderId="70" xfId="0" applyFont="1" applyFill="1" applyBorder="1" applyAlignment="1">
      <alignment vertical="top"/>
    </xf>
    <xf numFmtId="0" fontId="0" fillId="0" borderId="17" xfId="0" applyBorder="1"/>
    <xf numFmtId="0" fontId="30" fillId="0" borderId="17" xfId="0" applyFont="1" applyFill="1" applyBorder="1" applyAlignment="1">
      <alignment vertical="top"/>
    </xf>
    <xf numFmtId="0" fontId="31" fillId="0" borderId="4" xfId="0" applyFont="1" applyFill="1" applyBorder="1" applyAlignment="1">
      <alignment vertical="top"/>
    </xf>
    <xf numFmtId="0" fontId="0" fillId="0" borderId="0" xfId="0" applyFill="1" applyBorder="1" applyAlignment="1">
      <alignment vertical="top"/>
    </xf>
    <xf numFmtId="0" fontId="140" fillId="0" borderId="0" xfId="0" applyFont="1" applyFill="1" applyBorder="1" applyAlignment="1">
      <alignment vertical="top"/>
    </xf>
    <xf numFmtId="0" fontId="120" fillId="43" borderId="4" xfId="0" applyFont="1" applyFill="1" applyBorder="1" applyAlignment="1">
      <alignment vertical="top"/>
    </xf>
    <xf numFmtId="0" fontId="0" fillId="43" borderId="62" xfId="0" applyFill="1" applyBorder="1"/>
    <xf numFmtId="0" fontId="0" fillId="43" borderId="69" xfId="0" applyFill="1" applyBorder="1"/>
    <xf numFmtId="0" fontId="30" fillId="43" borderId="17" xfId="0" applyFont="1" applyFill="1" applyBorder="1" applyAlignment="1">
      <alignment vertical="top"/>
    </xf>
    <xf numFmtId="0" fontId="31" fillId="43" borderId="2" xfId="0" applyFont="1" applyFill="1" applyBorder="1" applyAlignment="1">
      <alignment vertical="top"/>
    </xf>
    <xf numFmtId="0" fontId="0" fillId="43" borderId="2" xfId="0" applyFill="1" applyBorder="1" applyAlignment="1">
      <alignment vertical="top"/>
    </xf>
    <xf numFmtId="0" fontId="0" fillId="94" borderId="2" xfId="0" applyFill="1" applyBorder="1" applyAlignment="1">
      <alignment vertical="top"/>
    </xf>
    <xf numFmtId="0" fontId="31" fillId="43" borderId="2" xfId="0" applyFont="1" applyFill="1" applyBorder="1" applyAlignment="1">
      <alignment vertical="top" wrapText="1"/>
    </xf>
    <xf numFmtId="0" fontId="138" fillId="43" borderId="2" xfId="0" applyFont="1" applyFill="1" applyBorder="1" applyAlignment="1">
      <alignment horizontal="center" vertical="top"/>
    </xf>
    <xf numFmtId="0" fontId="0" fillId="43" borderId="2" xfId="0" applyFill="1" applyBorder="1" applyAlignment="1">
      <alignment vertical="top" wrapText="1"/>
    </xf>
    <xf numFmtId="0" fontId="31" fillId="43" borderId="80" xfId="0" applyFont="1" applyFill="1" applyBorder="1" applyAlignment="1">
      <alignment vertical="top" wrapText="1"/>
    </xf>
    <xf numFmtId="0" fontId="31" fillId="43" borderId="95" xfId="0" applyFont="1" applyFill="1" applyBorder="1" applyAlignment="1">
      <alignment vertical="top" wrapText="1"/>
    </xf>
    <xf numFmtId="0" fontId="31" fillId="43" borderId="80" xfId="0" applyFont="1" applyFill="1" applyBorder="1"/>
    <xf numFmtId="0" fontId="140" fillId="43" borderId="95" xfId="0" applyFont="1" applyFill="1" applyBorder="1"/>
    <xf numFmtId="0" fontId="140" fillId="43" borderId="77" xfId="0" applyFont="1" applyFill="1" applyBorder="1" applyAlignment="1">
      <alignment vertical="top" wrapText="1"/>
    </xf>
    <xf numFmtId="0" fontId="140" fillId="43" borderId="79" xfId="0" applyFont="1" applyFill="1" applyBorder="1" applyAlignment="1">
      <alignment vertical="top" wrapText="1"/>
    </xf>
    <xf numFmtId="0" fontId="140" fillId="43" borderId="80" xfId="0" applyFont="1" applyFill="1" applyBorder="1"/>
    <xf numFmtId="0" fontId="31" fillId="43" borderId="77" xfId="0" applyFont="1" applyFill="1" applyBorder="1" applyAlignment="1">
      <alignment vertical="top" wrapText="1"/>
    </xf>
    <xf numFmtId="0" fontId="31" fillId="43" borderId="49" xfId="0" applyFont="1" applyFill="1" applyBorder="1"/>
    <xf numFmtId="0" fontId="140" fillId="43" borderId="62" xfId="0" applyFont="1" applyFill="1" applyBorder="1"/>
    <xf numFmtId="0" fontId="140" fillId="43" borderId="69" xfId="0" applyFont="1" applyFill="1" applyBorder="1" applyAlignment="1">
      <alignment vertical="top" wrapText="1"/>
    </xf>
    <xf numFmtId="0" fontId="140" fillId="43" borderId="1" xfId="0" applyFont="1" applyFill="1" applyBorder="1" applyAlignment="1">
      <alignment vertical="top"/>
    </xf>
    <xf numFmtId="0" fontId="140" fillId="0" borderId="0" xfId="0" applyFont="1" applyFill="1" applyBorder="1"/>
    <xf numFmtId="0" fontId="0" fillId="34" borderId="0" xfId="0" applyFill="1"/>
    <xf numFmtId="0" fontId="0" fillId="34" borderId="0" xfId="0" applyFill="1" applyAlignment="1">
      <alignment horizontal="right"/>
    </xf>
    <xf numFmtId="0" fontId="141" fillId="34" borderId="0" xfId="0" applyFont="1" applyFill="1"/>
    <xf numFmtId="2" fontId="0" fillId="91" borderId="0" xfId="0" applyNumberFormat="1" applyFill="1"/>
    <xf numFmtId="0" fontId="0" fillId="0" borderId="22" xfId="0" applyFill="1" applyBorder="1"/>
    <xf numFmtId="2" fontId="30" fillId="91" borderId="0" xfId="0" applyNumberFormat="1" applyFont="1" applyFill="1"/>
    <xf numFmtId="0" fontId="31" fillId="0" borderId="22" xfId="0" applyFont="1" applyFill="1" applyBorder="1"/>
    <xf numFmtId="2" fontId="31" fillId="91" borderId="0" xfId="0" applyNumberFormat="1" applyFont="1" applyFill="1"/>
    <xf numFmtId="2" fontId="0" fillId="0" borderId="22" xfId="0" applyNumberFormat="1" applyFill="1" applyBorder="1"/>
    <xf numFmtId="0" fontId="31" fillId="0" borderId="1" xfId="0" applyFont="1" applyFill="1" applyBorder="1"/>
    <xf numFmtId="0" fontId="30" fillId="0" borderId="1" xfId="0" applyFont="1" applyFill="1" applyBorder="1" applyAlignment="1">
      <alignment wrapText="1"/>
    </xf>
    <xf numFmtId="0" fontId="136" fillId="0" borderId="0" xfId="0" applyFont="1" applyBorder="1" applyAlignment="1">
      <alignment wrapText="1"/>
    </xf>
    <xf numFmtId="0" fontId="30" fillId="0" borderId="0" xfId="0" applyFont="1" applyBorder="1"/>
    <xf numFmtId="0" fontId="30" fillId="0" borderId="0" xfId="0" applyFont="1" applyFill="1" applyBorder="1"/>
    <xf numFmtId="0" fontId="120" fillId="0" borderId="1" xfId="0" applyFont="1" applyFill="1" applyBorder="1" applyAlignment="1">
      <alignment horizontal="center" vertical="top"/>
    </xf>
    <xf numFmtId="0" fontId="30" fillId="0" borderId="1" xfId="0" applyFont="1" applyFill="1" applyBorder="1"/>
    <xf numFmtId="0" fontId="140" fillId="0" borderId="1" xfId="0" applyFont="1" applyFill="1" applyBorder="1" applyAlignment="1">
      <alignment vertical="top"/>
    </xf>
    <xf numFmtId="0" fontId="31" fillId="0" borderId="0" xfId="0" applyFont="1" applyFill="1" applyBorder="1"/>
    <xf numFmtId="0" fontId="0" fillId="0" borderId="0" xfId="0" applyFill="1" applyBorder="1" applyAlignment="1">
      <alignment wrapText="1"/>
    </xf>
    <xf numFmtId="0" fontId="0" fillId="96" borderId="1" xfId="0" applyFill="1" applyBorder="1" applyAlignment="1">
      <alignment vertical="top"/>
    </xf>
    <xf numFmtId="0" fontId="120" fillId="0" borderId="1" xfId="0" applyFont="1" applyFill="1" applyBorder="1"/>
    <xf numFmtId="0" fontId="120" fillId="0" borderId="1" xfId="0" applyFont="1" applyBorder="1"/>
    <xf numFmtId="2" fontId="120" fillId="0" borderId="1" xfId="0" applyNumberFormat="1" applyFont="1" applyBorder="1"/>
    <xf numFmtId="0" fontId="29" fillId="0" borderId="0" xfId="0" applyFont="1" applyFill="1" applyBorder="1" applyAlignment="1">
      <alignment horizontal="center" vertical="center"/>
    </xf>
    <xf numFmtId="3" fontId="10" fillId="0" borderId="0" xfId="3890" applyNumberFormat="1" applyFont="1" applyFill="1" applyBorder="1"/>
    <xf numFmtId="0" fontId="0" fillId="0" borderId="1" xfId="0" applyBorder="1" applyAlignment="1">
      <alignment wrapText="1"/>
    </xf>
    <xf numFmtId="3" fontId="0" fillId="0" borderId="1" xfId="0" applyNumberFormat="1" applyBorder="1" applyAlignment="1">
      <alignment wrapText="1"/>
    </xf>
    <xf numFmtId="174" fontId="0" fillId="0" borderId="1" xfId="0" applyNumberFormat="1" applyBorder="1" applyAlignment="1">
      <alignment wrapText="1"/>
    </xf>
    <xf numFmtId="0" fontId="0" fillId="0" borderId="0" xfId="0" applyAlignment="1">
      <alignment wrapText="1"/>
    </xf>
    <xf numFmtId="0" fontId="0" fillId="98" borderId="31" xfId="0" applyFill="1" applyBorder="1"/>
    <xf numFmtId="0" fontId="0" fillId="98" borderId="0" xfId="0" applyFill="1" applyBorder="1"/>
    <xf numFmtId="3" fontId="0" fillId="98" borderId="0" xfId="0" applyNumberFormat="1" applyFill="1" applyBorder="1"/>
    <xf numFmtId="174" fontId="0" fillId="98" borderId="12" xfId="0" applyNumberFormat="1" applyFill="1" applyBorder="1" applyAlignment="1">
      <alignment wrapText="1"/>
    </xf>
    <xf numFmtId="0" fontId="0" fillId="0" borderId="0" xfId="0" applyAlignment="1"/>
    <xf numFmtId="0" fontId="0" fillId="0" borderId="0" xfId="0" applyAlignment="1">
      <alignment horizontal="left"/>
    </xf>
    <xf numFmtId="0" fontId="0" fillId="0" borderId="0" xfId="0" applyNumberFormat="1"/>
    <xf numFmtId="3" fontId="144" fillId="99" borderId="1" xfId="0" applyNumberFormat="1" applyFont="1" applyFill="1" applyBorder="1"/>
    <xf numFmtId="0" fontId="0" fillId="98" borderId="47" xfId="0" applyFill="1" applyBorder="1"/>
    <xf numFmtId="0" fontId="0" fillId="98" borderId="15" xfId="0" applyFill="1" applyBorder="1"/>
    <xf numFmtId="3" fontId="0" fillId="98" borderId="15" xfId="0" applyNumberFormat="1" applyFill="1" applyBorder="1"/>
    <xf numFmtId="174" fontId="0" fillId="98" borderId="32" xfId="0" applyNumberFormat="1" applyFill="1" applyBorder="1" applyAlignment="1">
      <alignment wrapText="1"/>
    </xf>
    <xf numFmtId="0" fontId="0" fillId="0" borderId="31" xfId="0" applyBorder="1"/>
    <xf numFmtId="0" fontId="145" fillId="0" borderId="0" xfId="0" applyFont="1" applyFill="1" applyBorder="1"/>
    <xf numFmtId="3" fontId="0" fillId="0" borderId="0" xfId="0" applyNumberFormat="1" applyFont="1" applyFill="1" applyBorder="1"/>
    <xf numFmtId="174" fontId="145" fillId="0" borderId="12" xfId="0" applyNumberFormat="1" applyFont="1" applyFill="1" applyBorder="1"/>
    <xf numFmtId="0" fontId="0" fillId="0" borderId="31" xfId="0" applyFill="1" applyBorder="1"/>
    <xf numFmtId="0" fontId="0" fillId="0" borderId="104" xfId="0" applyFill="1" applyBorder="1"/>
    <xf numFmtId="0" fontId="145" fillId="0" borderId="105" xfId="0" applyFont="1" applyFill="1" applyBorder="1"/>
    <xf numFmtId="3" fontId="0" fillId="0" borderId="105" xfId="0" applyNumberFormat="1" applyFont="1" applyFill="1" applyBorder="1"/>
    <xf numFmtId="174" fontId="145" fillId="0" borderId="106" xfId="0" applyNumberFormat="1" applyFont="1" applyFill="1" applyBorder="1"/>
    <xf numFmtId="0" fontId="0" fillId="0" borderId="47" xfId="0" applyBorder="1"/>
    <xf numFmtId="0" fontId="145" fillId="0" borderId="15" xfId="0" applyFont="1" applyFill="1" applyBorder="1"/>
    <xf numFmtId="174" fontId="145" fillId="0" borderId="32" xfId="0" applyNumberFormat="1" applyFont="1" applyFill="1" applyBorder="1"/>
    <xf numFmtId="0" fontId="29" fillId="0" borderId="10" xfId="0" applyFont="1" applyBorder="1"/>
    <xf numFmtId="0" fontId="29" fillId="0" borderId="17" xfId="0" applyFont="1" applyBorder="1"/>
    <xf numFmtId="3" fontId="29" fillId="0" borderId="1" xfId="0" applyNumberFormat="1" applyFont="1" applyBorder="1"/>
    <xf numFmtId="174" fontId="29" fillId="0" borderId="18" xfId="0" applyNumberFormat="1" applyFont="1" applyBorder="1"/>
    <xf numFmtId="0" fontId="142" fillId="0" borderId="0" xfId="0" applyFont="1" applyFill="1" applyBorder="1" applyAlignment="1">
      <alignment horizontal="center"/>
    </xf>
    <xf numFmtId="0" fontId="146" fillId="0" borderId="99" xfId="0" applyFont="1" applyFill="1" applyBorder="1"/>
    <xf numFmtId="0" fontId="146" fillId="0" borderId="79" xfId="0" applyFont="1" applyFill="1" applyBorder="1"/>
    <xf numFmtId="3" fontId="146" fillId="0" borderId="79" xfId="0" applyNumberFormat="1" applyFont="1" applyFill="1" applyBorder="1"/>
    <xf numFmtId="175" fontId="146" fillId="0" borderId="107" xfId="0" applyNumberFormat="1" applyFont="1" applyFill="1" applyBorder="1"/>
    <xf numFmtId="0" fontId="146" fillId="0" borderId="31" xfId="0" applyFont="1" applyFill="1" applyBorder="1"/>
    <xf numFmtId="0" fontId="146" fillId="0" borderId="0" xfId="0" applyFont="1" applyFill="1" applyBorder="1"/>
    <xf numFmtId="3" fontId="146" fillId="0" borderId="0" xfId="0" applyNumberFormat="1" applyFont="1" applyFill="1" applyBorder="1"/>
    <xf numFmtId="175" fontId="146" fillId="0" borderId="12" xfId="0" applyNumberFormat="1" applyFont="1" applyFill="1" applyBorder="1"/>
    <xf numFmtId="0" fontId="146" fillId="0" borderId="47" xfId="0" applyFont="1" applyFill="1" applyBorder="1"/>
    <xf numFmtId="0" fontId="146" fillId="0" borderId="15" xfId="0" applyFont="1" applyFill="1" applyBorder="1"/>
    <xf numFmtId="3" fontId="146" fillId="0" borderId="15" xfId="0" applyNumberFormat="1" applyFont="1" applyFill="1" applyBorder="1"/>
    <xf numFmtId="175" fontId="146" fillId="0" borderId="32" xfId="0" applyNumberFormat="1" applyFont="1" applyFill="1" applyBorder="1"/>
    <xf numFmtId="0" fontId="146" fillId="0" borderId="10" xfId="0" applyFont="1" applyFill="1" applyBorder="1"/>
    <xf numFmtId="0" fontId="146" fillId="0" borderId="17" xfId="0" applyFont="1" applyFill="1" applyBorder="1"/>
    <xf numFmtId="3" fontId="144" fillId="0" borderId="1" xfId="0" applyNumberFormat="1" applyFont="1" applyFill="1" applyBorder="1"/>
    <xf numFmtId="3" fontId="144" fillId="0" borderId="17" xfId="0" applyNumberFormat="1" applyFont="1" applyFill="1" applyBorder="1"/>
    <xf numFmtId="175" fontId="146" fillId="0" borderId="18" xfId="0" applyNumberFormat="1" applyFont="1" applyFill="1" applyBorder="1"/>
    <xf numFmtId="174" fontId="0" fillId="0" borderId="0" xfId="0" applyNumberFormat="1"/>
    <xf numFmtId="3" fontId="117" fillId="43" borderId="1" xfId="0" applyNumberFormat="1" applyFont="1" applyFill="1" applyBorder="1"/>
    <xf numFmtId="3" fontId="109" fillId="43" borderId="1" xfId="0" applyNumberFormat="1" applyFont="1" applyFill="1" applyBorder="1"/>
    <xf numFmtId="3" fontId="80" fillId="0" borderId="32" xfId="0" applyNumberFormat="1" applyFont="1" applyFill="1" applyBorder="1"/>
    <xf numFmtId="3" fontId="40" fillId="36" borderId="18" xfId="0" applyNumberFormat="1" applyFont="1" applyFill="1" applyBorder="1" applyAlignment="1">
      <alignment vertical="center"/>
    </xf>
    <xf numFmtId="9" fontId="40" fillId="36" borderId="18" xfId="0" applyNumberFormat="1" applyFont="1" applyFill="1" applyBorder="1" applyAlignment="1">
      <alignment vertical="center"/>
    </xf>
    <xf numFmtId="3" fontId="148" fillId="43" borderId="0" xfId="0" applyNumberFormat="1" applyFont="1" applyFill="1" applyBorder="1" applyAlignment="1"/>
    <xf numFmtId="173" fontId="110" fillId="0" borderId="0" xfId="0" applyNumberFormat="1" applyFont="1" applyAlignment="1"/>
    <xf numFmtId="3" fontId="112" fillId="0" borderId="0" xfId="0" applyNumberFormat="1" applyFont="1" applyBorder="1"/>
    <xf numFmtId="3" fontId="118" fillId="43" borderId="1" xfId="0" applyNumberFormat="1" applyFont="1" applyFill="1" applyBorder="1"/>
    <xf numFmtId="3" fontId="118" fillId="43" borderId="18" xfId="0" applyNumberFormat="1" applyFont="1" applyFill="1" applyBorder="1"/>
    <xf numFmtId="3" fontId="147" fillId="43" borderId="1" xfId="0" applyNumberFormat="1" applyFont="1" applyFill="1" applyBorder="1" applyAlignment="1">
      <alignment horizontal="right" indent="1"/>
    </xf>
    <xf numFmtId="3" fontId="147" fillId="43" borderId="18" xfId="0" applyNumberFormat="1" applyFont="1" applyFill="1" applyBorder="1" applyAlignment="1">
      <alignment horizontal="right" indent="1"/>
    </xf>
    <xf numFmtId="3" fontId="109" fillId="43" borderId="18" xfId="0" applyNumberFormat="1" applyFont="1" applyFill="1" applyBorder="1"/>
    <xf numFmtId="3" fontId="109" fillId="100" borderId="1" xfId="0" applyNumberFormat="1" applyFont="1" applyFill="1" applyBorder="1"/>
    <xf numFmtId="173" fontId="149" fillId="0" borderId="0" xfId="0" applyNumberFormat="1" applyFont="1" applyBorder="1"/>
    <xf numFmtId="0" fontId="80" fillId="0" borderId="0" xfId="0" applyFont="1" applyBorder="1" applyAlignment="1">
      <alignment horizontal="left" vertical="top"/>
    </xf>
    <xf numFmtId="0" fontId="111" fillId="0" borderId="0" xfId="3886" applyFont="1" applyFill="1" applyBorder="1"/>
    <xf numFmtId="0" fontId="148" fillId="0" borderId="0" xfId="3886" applyFont="1" applyFill="1" applyBorder="1"/>
    <xf numFmtId="3" fontId="80" fillId="100" borderId="1" xfId="0" applyNumberFormat="1" applyFont="1" applyFill="1" applyBorder="1"/>
    <xf numFmtId="3" fontId="80" fillId="100" borderId="18" xfId="0" applyNumberFormat="1" applyFont="1" applyFill="1" applyBorder="1"/>
    <xf numFmtId="173" fontId="150" fillId="0" borderId="0" xfId="0" applyNumberFormat="1" applyFont="1"/>
    <xf numFmtId="3" fontId="117" fillId="44" borderId="1" xfId="0" applyNumberFormat="1" applyFont="1" applyFill="1" applyBorder="1"/>
    <xf numFmtId="0" fontId="151" fillId="0" borderId="0" xfId="3269" applyFont="1"/>
    <xf numFmtId="0" fontId="153" fillId="0" borderId="0" xfId="3269" applyFont="1"/>
    <xf numFmtId="0" fontId="154" fillId="0" borderId="0" xfId="3269" applyFont="1"/>
    <xf numFmtId="0" fontId="122" fillId="0" borderId="0" xfId="3269" applyFont="1"/>
    <xf numFmtId="0" fontId="155" fillId="0" borderId="15" xfId="3269" applyFont="1" applyBorder="1"/>
    <xf numFmtId="0" fontId="156" fillId="0" borderId="0" xfId="3269" applyFont="1" applyAlignment="1">
      <alignment horizontal="right"/>
    </xf>
    <xf numFmtId="0" fontId="157" fillId="0" borderId="3" xfId="3269" applyFont="1" applyBorder="1"/>
    <xf numFmtId="0" fontId="158" fillId="0" borderId="1" xfId="3269" applyFont="1" applyFill="1" applyBorder="1" applyAlignment="1">
      <alignment horizontal="center" wrapText="1"/>
    </xf>
    <xf numFmtId="0" fontId="158" fillId="92" borderId="1" xfId="3269" applyFont="1" applyFill="1" applyBorder="1" applyAlignment="1">
      <alignment horizontal="center" vertical="top" wrapText="1"/>
    </xf>
    <xf numFmtId="0" fontId="160" fillId="92" borderId="1" xfId="3269" applyFont="1" applyFill="1" applyBorder="1" applyAlignment="1">
      <alignment horizontal="center" wrapText="1"/>
    </xf>
    <xf numFmtId="0" fontId="160" fillId="97" borderId="1" xfId="3269" applyFont="1" applyFill="1" applyBorder="1" applyAlignment="1">
      <alignment horizontal="center" wrapText="1"/>
    </xf>
    <xf numFmtId="0" fontId="162" fillId="0" borderId="0" xfId="3269" applyFont="1"/>
    <xf numFmtId="0" fontId="158" fillId="92" borderId="1" xfId="3269" applyFont="1" applyFill="1" applyBorder="1" applyAlignment="1">
      <alignment horizontal="center" wrapText="1"/>
    </xf>
    <xf numFmtId="0" fontId="154" fillId="92" borderId="1" xfId="3269" applyFont="1" applyFill="1" applyBorder="1"/>
    <xf numFmtId="0" fontId="122" fillId="92" borderId="1" xfId="3269" applyFont="1" applyFill="1" applyBorder="1"/>
    <xf numFmtId="0" fontId="122" fillId="92" borderId="0" xfId="3269" applyFont="1" applyFill="1" applyBorder="1"/>
    <xf numFmtId="0" fontId="154" fillId="92" borderId="0" xfId="3269" applyFont="1" applyFill="1" applyBorder="1"/>
    <xf numFmtId="0" fontId="158" fillId="100" borderId="1" xfId="3269" applyFont="1" applyFill="1" applyBorder="1" applyAlignment="1">
      <alignment wrapText="1"/>
    </xf>
    <xf numFmtId="176" fontId="163" fillId="100" borderId="1" xfId="3269" applyNumberFormat="1" applyFont="1" applyFill="1" applyBorder="1"/>
    <xf numFmtId="176" fontId="164" fillId="100" borderId="1" xfId="3269" applyNumberFormat="1" applyFont="1" applyFill="1" applyBorder="1"/>
    <xf numFmtId="0" fontId="156" fillId="0" borderId="0" xfId="3269" applyFont="1"/>
    <xf numFmtId="0" fontId="154" fillId="0" borderId="0" xfId="3269" applyFont="1" applyFill="1"/>
    <xf numFmtId="0" fontId="127" fillId="0" borderId="1" xfId="3269" applyFont="1" applyBorder="1" applyAlignment="1">
      <alignment horizontal="left"/>
    </xf>
    <xf numFmtId="176" fontId="156" fillId="0" borderId="18" xfId="3269" applyNumberFormat="1" applyFont="1" applyFill="1" applyBorder="1" applyAlignment="1">
      <alignment horizontal="center"/>
    </xf>
    <xf numFmtId="176" fontId="162" fillId="0" borderId="18" xfId="3269" applyNumberFormat="1" applyFont="1" applyFill="1" applyBorder="1" applyAlignment="1">
      <alignment horizontal="center"/>
    </xf>
    <xf numFmtId="176" fontId="162" fillId="0" borderId="1" xfId="3269" applyNumberFormat="1" applyFont="1" applyFill="1" applyBorder="1" applyAlignment="1">
      <alignment horizontal="center"/>
    </xf>
    <xf numFmtId="176" fontId="156" fillId="0" borderId="0" xfId="3269" applyNumberFormat="1" applyFont="1" applyFill="1" applyBorder="1" applyAlignment="1">
      <alignment horizontal="center"/>
    </xf>
    <xf numFmtId="176" fontId="162" fillId="0" borderId="0" xfId="3269" applyNumberFormat="1" applyFont="1" applyFill="1" applyBorder="1" applyAlignment="1">
      <alignment horizontal="center"/>
    </xf>
    <xf numFmtId="0" fontId="165" fillId="0" borderId="1" xfId="3269" applyFont="1" applyFill="1" applyBorder="1" applyAlignment="1">
      <alignment horizontal="left" wrapText="1"/>
    </xf>
    <xf numFmtId="172" fontId="162" fillId="0" borderId="1" xfId="3269" applyNumberFormat="1" applyFont="1" applyFill="1" applyBorder="1"/>
    <xf numFmtId="172" fontId="162" fillId="92" borderId="1" xfId="3269" applyNumberFormat="1" applyFont="1" applyFill="1" applyBorder="1"/>
    <xf numFmtId="172" fontId="156" fillId="92" borderId="1" xfId="3269" applyNumberFormat="1" applyFont="1" applyFill="1" applyBorder="1"/>
    <xf numFmtId="0" fontId="156" fillId="0" borderId="0" xfId="3269" applyFont="1" applyFill="1"/>
    <xf numFmtId="176" fontId="162" fillId="0" borderId="1" xfId="3269" applyNumberFormat="1" applyFont="1" applyFill="1" applyBorder="1"/>
    <xf numFmtId="176" fontId="162" fillId="92" borderId="1" xfId="3269" applyNumberFormat="1" applyFont="1" applyFill="1" applyBorder="1"/>
    <xf numFmtId="176" fontId="156" fillId="92" borderId="1" xfId="3269" applyNumberFormat="1" applyFont="1" applyFill="1" applyBorder="1"/>
    <xf numFmtId="0" fontId="166" fillId="0" borderId="1" xfId="3269" applyFont="1" applyFill="1" applyBorder="1" applyAlignment="1">
      <alignment horizontal="left"/>
    </xf>
    <xf numFmtId="0" fontId="160" fillId="101" borderId="1" xfId="3269" applyFont="1" applyFill="1" applyBorder="1" applyAlignment="1">
      <alignment wrapText="1"/>
    </xf>
    <xf numFmtId="176" fontId="163" fillId="101" borderId="1" xfId="3269" applyNumberFormat="1" applyFont="1" applyFill="1" applyBorder="1"/>
    <xf numFmtId="175" fontId="164" fillId="101" borderId="1" xfId="3269" applyNumberFormat="1" applyFont="1" applyFill="1" applyBorder="1" applyAlignment="1">
      <alignment wrapText="1"/>
    </xf>
    <xf numFmtId="0" fontId="154" fillId="102" borderId="0" xfId="3269" applyFont="1" applyFill="1"/>
    <xf numFmtId="0" fontId="167" fillId="0" borderId="1" xfId="3269" applyFont="1" applyFill="1" applyBorder="1" applyAlignment="1">
      <alignment horizontal="right" wrapText="1"/>
    </xf>
    <xf numFmtId="0" fontId="153" fillId="0" borderId="1" xfId="3269" applyFont="1" applyFill="1" applyBorder="1"/>
    <xf numFmtId="0" fontId="156" fillId="0" borderId="0" xfId="3269" applyFont="1" applyFill="1" applyBorder="1" applyAlignment="1">
      <alignment horizontal="center"/>
    </xf>
    <xf numFmtId="0" fontId="153" fillId="0" borderId="0" xfId="3269" applyFont="1" applyFill="1" applyBorder="1" applyAlignment="1">
      <alignment horizontal="center"/>
    </xf>
    <xf numFmtId="0" fontId="168" fillId="0" borderId="1" xfId="3269" applyFont="1" applyBorder="1" applyAlignment="1">
      <alignment horizontal="left"/>
    </xf>
    <xf numFmtId="175" fontId="162" fillId="0" borderId="1" xfId="3269" applyNumberFormat="1" applyFont="1" applyFill="1" applyBorder="1"/>
    <xf numFmtId="0" fontId="162" fillId="0" borderId="1" xfId="3269" applyFont="1" applyFill="1" applyBorder="1"/>
    <xf numFmtId="0" fontId="169" fillId="0" borderId="1" xfId="3269" applyFont="1" applyBorder="1" applyAlignment="1">
      <alignment horizontal="left"/>
    </xf>
    <xf numFmtId="175" fontId="170" fillId="0" borderId="1" xfId="3269" applyNumberFormat="1" applyFont="1" applyFill="1" applyBorder="1"/>
    <xf numFmtId="175" fontId="156" fillId="0" borderId="1" xfId="3269" applyNumberFormat="1" applyFont="1" applyFill="1" applyBorder="1"/>
    <xf numFmtId="0" fontId="161" fillId="103" borderId="1" xfId="3269" applyFont="1" applyFill="1" applyBorder="1" applyAlignment="1">
      <alignment vertical="top" wrapText="1"/>
    </xf>
    <xf numFmtId="175" fontId="171" fillId="103" borderId="1" xfId="3269" applyNumberFormat="1" applyFont="1" applyFill="1" applyBorder="1"/>
    <xf numFmtId="175" fontId="172" fillId="103" borderId="1" xfId="3269" applyNumberFormat="1" applyFont="1" applyFill="1" applyBorder="1"/>
    <xf numFmtId="0" fontId="156" fillId="0" borderId="0" xfId="3269" applyFont="1" applyFill="1" applyBorder="1" applyAlignment="1"/>
    <xf numFmtId="175" fontId="173" fillId="103" borderId="1" xfId="3269" applyNumberFormat="1" applyFont="1" applyFill="1" applyBorder="1"/>
    <xf numFmtId="49" fontId="156" fillId="0" borderId="0" xfId="3269" applyNumberFormat="1" applyFont="1" applyFill="1"/>
    <xf numFmtId="0" fontId="122" fillId="0" borderId="0" xfId="3269" applyFont="1" applyFill="1"/>
    <xf numFmtId="0" fontId="161" fillId="0" borderId="1" xfId="3269" applyFont="1" applyFill="1" applyBorder="1" applyAlignment="1">
      <alignment vertical="top" wrapText="1"/>
    </xf>
    <xf numFmtId="175" fontId="171" fillId="0" borderId="1" xfId="3269" applyNumberFormat="1" applyFont="1" applyFill="1" applyBorder="1"/>
    <xf numFmtId="0" fontId="122" fillId="0" borderId="1" xfId="3269" applyFont="1" applyFill="1" applyBorder="1"/>
    <xf numFmtId="176" fontId="164" fillId="101" borderId="1" xfId="3269" applyNumberFormat="1" applyFont="1" applyFill="1" applyBorder="1"/>
    <xf numFmtId="176" fontId="174" fillId="101" borderId="1" xfId="3269" applyNumberFormat="1" applyFont="1" applyFill="1" applyBorder="1"/>
    <xf numFmtId="0" fontId="127" fillId="0" borderId="1" xfId="3269" applyFont="1" applyFill="1" applyBorder="1" applyAlignment="1">
      <alignment horizontal="right" wrapText="1"/>
    </xf>
    <xf numFmtId="0" fontId="154" fillId="0" borderId="1" xfId="3269" applyFont="1" applyFill="1" applyBorder="1"/>
    <xf numFmtId="175" fontId="165" fillId="0" borderId="1" xfId="3269" applyNumberFormat="1" applyFont="1" applyFill="1" applyBorder="1"/>
    <xf numFmtId="175" fontId="175" fillId="0" borderId="1" xfId="3269" applyNumberFormat="1" applyFont="1" applyFill="1" applyBorder="1"/>
    <xf numFmtId="0" fontId="156" fillId="0" borderId="1" xfId="3269" applyFont="1" applyFill="1" applyBorder="1"/>
    <xf numFmtId="176" fontId="156" fillId="100" borderId="1" xfId="3269" applyNumberFormat="1" applyFont="1" applyFill="1" applyBorder="1"/>
    <xf numFmtId="176" fontId="176" fillId="0" borderId="0" xfId="3269" applyNumberFormat="1" applyFont="1" applyFill="1"/>
    <xf numFmtId="176" fontId="77" fillId="0" borderId="0" xfId="3269" applyNumberFormat="1" applyFont="1" applyFill="1"/>
    <xf numFmtId="3" fontId="176" fillId="0" borderId="0" xfId="3269" applyNumberFormat="1" applyFont="1" applyFill="1"/>
    <xf numFmtId="0" fontId="177" fillId="0" borderId="0" xfId="0" applyFont="1" applyAlignment="1">
      <alignment horizontal="left" vertical="top"/>
    </xf>
    <xf numFmtId="0" fontId="178" fillId="0" borderId="0" xfId="0" applyFont="1" applyAlignment="1">
      <alignment vertical="center"/>
    </xf>
    <xf numFmtId="0" fontId="178" fillId="0" borderId="0" xfId="0" applyFont="1" applyAlignment="1"/>
    <xf numFmtId="0" fontId="179" fillId="0" borderId="0" xfId="0" applyFont="1"/>
    <xf numFmtId="0" fontId="182" fillId="0" borderId="0" xfId="0" applyFont="1"/>
    <xf numFmtId="1" fontId="183" fillId="43" borderId="49" xfId="0" applyNumberFormat="1" applyFont="1" applyFill="1" applyBorder="1" applyAlignment="1">
      <alignment horizontal="center" vertical="center"/>
    </xf>
    <xf numFmtId="0" fontId="184" fillId="2" borderId="19" xfId="0" applyFont="1" applyFill="1" applyBorder="1" applyAlignment="1">
      <alignment horizontal="center" vertical="center"/>
    </xf>
    <xf numFmtId="0" fontId="184" fillId="2" borderId="23" xfId="0" applyFont="1" applyFill="1" applyBorder="1" applyAlignment="1">
      <alignment horizontal="center" vertical="center"/>
    </xf>
    <xf numFmtId="0" fontId="181" fillId="2" borderId="20" xfId="0" applyNumberFormat="1" applyFont="1" applyFill="1" applyBorder="1" applyAlignment="1">
      <alignment horizontal="center" vertical="center"/>
    </xf>
    <xf numFmtId="0" fontId="181" fillId="2" borderId="21" xfId="0" applyNumberFormat="1" applyFont="1" applyFill="1" applyBorder="1" applyAlignment="1">
      <alignment horizontal="center" vertical="center"/>
    </xf>
    <xf numFmtId="0" fontId="177" fillId="0" borderId="0" xfId="0" applyFont="1" applyAlignment="1">
      <alignment horizontal="center"/>
    </xf>
    <xf numFmtId="0" fontId="180" fillId="2" borderId="0" xfId="0" applyFont="1" applyFill="1" applyBorder="1" applyAlignment="1">
      <alignment horizontal="center" vertical="center"/>
    </xf>
    <xf numFmtId="0" fontId="185" fillId="37" borderId="3" xfId="0" applyFont="1" applyFill="1" applyBorder="1" applyAlignment="1">
      <alignment horizontal="left" vertical="top" wrapText="1"/>
    </xf>
    <xf numFmtId="0" fontId="186" fillId="37" borderId="3" xfId="0" applyFont="1" applyFill="1" applyBorder="1" applyAlignment="1">
      <alignment horizontal="center" vertical="center" wrapText="1"/>
    </xf>
    <xf numFmtId="0" fontId="187" fillId="37" borderId="3" xfId="0" applyNumberFormat="1" applyFont="1" applyFill="1" applyBorder="1" applyAlignment="1">
      <alignment horizontal="center" vertical="center" wrapText="1"/>
    </xf>
    <xf numFmtId="0" fontId="182" fillId="37" borderId="3" xfId="0" applyNumberFormat="1" applyFont="1" applyFill="1" applyBorder="1" applyAlignment="1">
      <alignment horizontal="center" vertical="center" wrapText="1"/>
    </xf>
    <xf numFmtId="0" fontId="185" fillId="37" borderId="3" xfId="0" applyNumberFormat="1" applyFont="1" applyFill="1" applyBorder="1" applyAlignment="1">
      <alignment horizontal="left" vertical="top" wrapText="1"/>
    </xf>
    <xf numFmtId="0" fontId="177" fillId="37" borderId="3" xfId="0" applyFont="1" applyFill="1" applyBorder="1" applyAlignment="1">
      <alignment horizontal="center"/>
    </xf>
    <xf numFmtId="0" fontId="180" fillId="0" borderId="1" xfId="0" applyFont="1" applyFill="1" applyBorder="1" applyAlignment="1">
      <alignment horizontal="left" vertical="center" wrapText="1"/>
    </xf>
    <xf numFmtId="1" fontId="182" fillId="0" borderId="1" xfId="0" applyNumberFormat="1" applyFont="1" applyFill="1" applyBorder="1" applyAlignment="1">
      <alignment horizontal="center" vertical="center" wrapText="1"/>
    </xf>
    <xf numFmtId="0" fontId="177" fillId="0" borderId="0" xfId="0" applyFont="1" applyFill="1" applyAlignment="1">
      <alignment horizontal="center"/>
    </xf>
    <xf numFmtId="1" fontId="182" fillId="0" borderId="1" xfId="0" applyNumberFormat="1" applyFont="1" applyFill="1" applyBorder="1" applyAlignment="1">
      <alignment horizontal="center" vertical="center"/>
    </xf>
    <xf numFmtId="1" fontId="177" fillId="0" borderId="1" xfId="0" applyNumberFormat="1" applyFont="1" applyFill="1" applyBorder="1" applyAlignment="1">
      <alignment horizontal="center" vertical="center"/>
    </xf>
    <xf numFmtId="1" fontId="182" fillId="0" borderId="1" xfId="0" applyNumberFormat="1" applyFont="1" applyFill="1" applyBorder="1" applyAlignment="1">
      <alignment horizontal="left" wrapText="1"/>
    </xf>
    <xf numFmtId="0" fontId="177" fillId="0" borderId="1" xfId="0" applyFont="1" applyFill="1" applyBorder="1" applyAlignment="1">
      <alignment horizontal="center" vertical="center"/>
    </xf>
    <xf numFmtId="0" fontId="177" fillId="0" borderId="1" xfId="0" applyFont="1" applyFill="1" applyBorder="1" applyAlignment="1">
      <alignment horizontal="center" vertical="center" wrapText="1"/>
    </xf>
    <xf numFmtId="0" fontId="188" fillId="0" borderId="0" xfId="0" applyFont="1" applyFill="1" applyAlignment="1">
      <alignment horizontal="left"/>
    </xf>
    <xf numFmtId="0" fontId="177" fillId="0" borderId="0" xfId="0" applyFont="1" applyFill="1" applyAlignment="1">
      <alignment horizontal="left"/>
    </xf>
    <xf numFmtId="1" fontId="182" fillId="35" borderId="1" xfId="0" applyNumberFormat="1" applyFont="1" applyFill="1" applyBorder="1" applyAlignment="1">
      <alignment horizontal="center" vertical="center" wrapText="1"/>
    </xf>
    <xf numFmtId="167" fontId="177" fillId="0" borderId="1" xfId="0" applyNumberFormat="1" applyFont="1" applyFill="1" applyBorder="1" applyAlignment="1">
      <alignment horizontal="center" vertical="center"/>
    </xf>
    <xf numFmtId="0" fontId="180" fillId="90" borderId="1" xfId="0" applyFont="1" applyFill="1" applyBorder="1" applyAlignment="1">
      <alignment horizontal="left" vertical="center" wrapText="1"/>
    </xf>
    <xf numFmtId="1" fontId="182" fillId="90" borderId="1" xfId="0" applyNumberFormat="1" applyFont="1" applyFill="1" applyBorder="1" applyAlignment="1">
      <alignment horizontal="center" vertical="center" wrapText="1"/>
    </xf>
    <xf numFmtId="0" fontId="177" fillId="90" borderId="1" xfId="0" applyFont="1" applyFill="1" applyBorder="1" applyAlignment="1">
      <alignment horizontal="center" vertical="center"/>
    </xf>
    <xf numFmtId="1" fontId="182" fillId="90" borderId="1" xfId="0" applyNumberFormat="1" applyFont="1" applyFill="1" applyBorder="1" applyAlignment="1">
      <alignment horizontal="center" vertical="center"/>
    </xf>
    <xf numFmtId="1" fontId="177" fillId="90" borderId="1" xfId="0" applyNumberFormat="1" applyFont="1" applyFill="1" applyBorder="1" applyAlignment="1">
      <alignment horizontal="center" vertical="center"/>
    </xf>
    <xf numFmtId="1" fontId="182" fillId="90" borderId="1" xfId="0" applyNumberFormat="1" applyFont="1" applyFill="1" applyBorder="1" applyAlignment="1">
      <alignment horizontal="left" wrapText="1"/>
    </xf>
    <xf numFmtId="167" fontId="177" fillId="90" borderId="1" xfId="0" applyNumberFormat="1" applyFont="1" applyFill="1" applyBorder="1" applyAlignment="1">
      <alignment horizontal="center" vertical="center"/>
    </xf>
    <xf numFmtId="0" fontId="177" fillId="90" borderId="1" xfId="0" applyFont="1" applyFill="1" applyBorder="1" applyAlignment="1">
      <alignment horizontal="center" vertical="center" wrapText="1"/>
    </xf>
    <xf numFmtId="0" fontId="182" fillId="0" borderId="1" xfId="0" applyFont="1" applyFill="1" applyBorder="1" applyAlignment="1">
      <alignment horizontal="center"/>
    </xf>
    <xf numFmtId="1" fontId="182" fillId="0" borderId="1" xfId="0" applyNumberFormat="1" applyFont="1" applyFill="1" applyBorder="1" applyAlignment="1">
      <alignment horizontal="left" vertical="top" wrapText="1"/>
    </xf>
    <xf numFmtId="167" fontId="182" fillId="0" borderId="1" xfId="0" applyNumberFormat="1" applyFont="1" applyFill="1" applyBorder="1" applyAlignment="1">
      <alignment horizontal="center" vertical="center"/>
    </xf>
    <xf numFmtId="0" fontId="182" fillId="0" borderId="1" xfId="0" applyFont="1" applyFill="1" applyBorder="1" applyAlignment="1">
      <alignment horizontal="center" vertical="center" wrapText="1"/>
    </xf>
    <xf numFmtId="0" fontId="179" fillId="0" borderId="0" xfId="0" applyFont="1" applyAlignment="1">
      <alignment horizontal="left" vertical="center" indent="1"/>
    </xf>
    <xf numFmtId="0" fontId="182" fillId="90" borderId="1" xfId="0" applyFont="1" applyFill="1" applyBorder="1" applyAlignment="1">
      <alignment horizontal="center"/>
    </xf>
    <xf numFmtId="167" fontId="182" fillId="90" borderId="1" xfId="0" applyNumberFormat="1" applyFont="1" applyFill="1" applyBorder="1" applyAlignment="1">
      <alignment horizontal="center" vertical="center"/>
    </xf>
    <xf numFmtId="0" fontId="182" fillId="90" borderId="1" xfId="0" applyFont="1" applyFill="1" applyBorder="1" applyAlignment="1">
      <alignment horizontal="center" vertical="center" wrapText="1"/>
    </xf>
    <xf numFmtId="1" fontId="182" fillId="90" borderId="1" xfId="0" applyNumberFormat="1" applyFont="1" applyFill="1" applyBorder="1" applyAlignment="1">
      <alignment horizontal="left" vertical="top" wrapText="1"/>
    </xf>
    <xf numFmtId="0" fontId="189" fillId="0" borderId="0" xfId="0" applyFont="1" applyAlignment="1">
      <alignment horizontal="left" vertical="center" indent="1"/>
    </xf>
    <xf numFmtId="0" fontId="185" fillId="37" borderId="1" xfId="0" applyFont="1" applyFill="1" applyBorder="1" applyAlignment="1">
      <alignment horizontal="left" vertical="center" wrapText="1"/>
    </xf>
    <xf numFmtId="1" fontId="180" fillId="37" borderId="1" xfId="0" applyNumberFormat="1" applyFont="1" applyFill="1" applyBorder="1" applyAlignment="1">
      <alignment horizontal="center" vertical="center" wrapText="1"/>
    </xf>
    <xf numFmtId="1" fontId="182" fillId="37" borderId="1" xfId="0" applyNumberFormat="1" applyFont="1" applyFill="1" applyBorder="1" applyAlignment="1">
      <alignment horizontal="center" vertical="center" wrapText="1"/>
    </xf>
    <xf numFmtId="1" fontId="187" fillId="37" borderId="1" xfId="0" applyNumberFormat="1" applyFont="1" applyFill="1" applyBorder="1" applyAlignment="1">
      <alignment horizontal="center" vertical="center" wrapText="1"/>
    </xf>
    <xf numFmtId="1" fontId="187" fillId="37" borderId="1" xfId="0" applyNumberFormat="1" applyFont="1" applyFill="1" applyBorder="1" applyAlignment="1">
      <alignment horizontal="left" wrapText="1"/>
    </xf>
    <xf numFmtId="167" fontId="182" fillId="37" borderId="1" xfId="0" applyNumberFormat="1" applyFont="1" applyFill="1" applyBorder="1" applyAlignment="1">
      <alignment horizontal="center" vertical="center" wrapText="1"/>
    </xf>
    <xf numFmtId="0" fontId="177" fillId="0" borderId="0" xfId="0" applyFont="1"/>
    <xf numFmtId="1" fontId="180" fillId="0" borderId="1" xfId="0" applyNumberFormat="1" applyFont="1" applyFill="1" applyBorder="1" applyAlignment="1">
      <alignment horizontal="center" vertical="center" wrapText="1"/>
    </xf>
    <xf numFmtId="1" fontId="187" fillId="0" borderId="1" xfId="0" applyNumberFormat="1" applyFont="1" applyFill="1" applyBorder="1" applyAlignment="1">
      <alignment horizontal="center" vertical="center" wrapText="1"/>
    </xf>
    <xf numFmtId="0" fontId="182" fillId="0" borderId="1" xfId="0" applyNumberFormat="1" applyFont="1" applyFill="1" applyBorder="1" applyAlignment="1">
      <alignment horizontal="center" vertical="center" wrapText="1"/>
    </xf>
    <xf numFmtId="167" fontId="182" fillId="0" borderId="1" xfId="0" applyNumberFormat="1" applyFont="1" applyFill="1" applyBorder="1" applyAlignment="1">
      <alignment horizontal="center" vertical="center" wrapText="1"/>
    </xf>
    <xf numFmtId="0" fontId="177" fillId="0" borderId="0" xfId="0" applyFont="1" applyFill="1"/>
    <xf numFmtId="1" fontId="190" fillId="0" borderId="1" xfId="0" applyNumberFormat="1" applyFont="1" applyFill="1" applyBorder="1" applyAlignment="1">
      <alignment horizontal="center" vertical="center" wrapText="1"/>
    </xf>
    <xf numFmtId="1" fontId="182" fillId="0" borderId="1" xfId="0" quotePrefix="1" applyNumberFormat="1" applyFont="1" applyFill="1" applyBorder="1" applyAlignment="1">
      <alignment horizontal="center" vertical="center"/>
    </xf>
    <xf numFmtId="0" fontId="182" fillId="35" borderId="0" xfId="0" applyFont="1" applyFill="1"/>
    <xf numFmtId="1" fontId="182" fillId="35" borderId="1" xfId="0" applyNumberFormat="1" applyFont="1" applyFill="1" applyBorder="1" applyAlignment="1">
      <alignment horizontal="center" vertical="center"/>
    </xf>
    <xf numFmtId="0" fontId="188" fillId="0" borderId="0" xfId="0" applyFont="1" applyFill="1"/>
    <xf numFmtId="1" fontId="182" fillId="35" borderId="1" xfId="0" applyNumberFormat="1" applyFont="1" applyFill="1" applyBorder="1" applyAlignment="1">
      <alignment vertical="center"/>
    </xf>
    <xf numFmtId="0" fontId="190" fillId="0" borderId="0" xfId="0" applyFont="1" applyFill="1"/>
    <xf numFmtId="0" fontId="177" fillId="0" borderId="1" xfId="0" applyFont="1" applyFill="1" applyBorder="1"/>
    <xf numFmtId="0" fontId="177" fillId="0" borderId="1" xfId="0" applyFont="1" applyFill="1" applyBorder="1" applyAlignment="1">
      <alignment horizontal="center"/>
    </xf>
    <xf numFmtId="1" fontId="182" fillId="0" borderId="1" xfId="0" applyNumberFormat="1" applyFont="1" applyFill="1" applyBorder="1" applyAlignment="1">
      <alignment vertical="center"/>
    </xf>
    <xf numFmtId="0" fontId="180" fillId="104" borderId="1" xfId="0" applyFont="1" applyFill="1" applyBorder="1" applyAlignment="1">
      <alignment horizontal="left" vertical="center" wrapText="1"/>
    </xf>
    <xf numFmtId="1" fontId="180" fillId="0" borderId="1" xfId="0" applyNumberFormat="1" applyFont="1" applyFill="1" applyBorder="1" applyAlignment="1">
      <alignment horizontal="left" vertical="center" wrapText="1"/>
    </xf>
    <xf numFmtId="0" fontId="180" fillId="35" borderId="1" xfId="0" applyFont="1" applyFill="1" applyBorder="1" applyAlignment="1">
      <alignment horizontal="left" vertical="center" wrapText="1"/>
    </xf>
    <xf numFmtId="1" fontId="180" fillId="35" borderId="1" xfId="0" applyNumberFormat="1" applyFont="1" applyFill="1" applyBorder="1" applyAlignment="1">
      <alignment horizontal="center" vertical="center" wrapText="1"/>
    </xf>
    <xf numFmtId="1" fontId="182" fillId="35" borderId="1" xfId="0" applyNumberFormat="1" applyFont="1" applyFill="1" applyBorder="1" applyAlignment="1">
      <alignment horizontal="left" wrapText="1"/>
    </xf>
    <xf numFmtId="167" fontId="182" fillId="35" borderId="1" xfId="0" applyNumberFormat="1" applyFont="1" applyFill="1" applyBorder="1" applyAlignment="1">
      <alignment horizontal="center" vertical="center" wrapText="1"/>
    </xf>
    <xf numFmtId="0" fontId="45" fillId="35" borderId="1" xfId="0" applyFont="1" applyFill="1" applyBorder="1" applyAlignment="1">
      <alignment horizontal="left" vertical="center" wrapText="1"/>
    </xf>
    <xf numFmtId="1" fontId="182" fillId="35" borderId="10" xfId="0" applyNumberFormat="1" applyFont="1" applyFill="1" applyBorder="1" applyAlignment="1">
      <alignment horizontal="center" vertical="center" wrapText="1"/>
    </xf>
    <xf numFmtId="1" fontId="43" fillId="0" borderId="1" xfId="0" applyNumberFormat="1" applyFont="1" applyFill="1" applyBorder="1" applyAlignment="1">
      <alignment horizontal="center" vertical="center" wrapText="1"/>
    </xf>
    <xf numFmtId="1" fontId="182" fillId="35" borderId="18" xfId="0" applyNumberFormat="1" applyFont="1" applyFill="1" applyBorder="1" applyAlignment="1">
      <alignment horizontal="left" vertical="top" wrapText="1"/>
    </xf>
    <xf numFmtId="0" fontId="45" fillId="0" borderId="0" xfId="0" applyFont="1" applyFill="1" applyAlignment="1">
      <alignment horizontal="left" vertical="top"/>
    </xf>
    <xf numFmtId="0" fontId="190" fillId="0" borderId="0" xfId="0" applyFont="1" applyAlignment="1">
      <alignment horizontal="center" vertical="center"/>
    </xf>
    <xf numFmtId="0" fontId="177" fillId="0" borderId="0" xfId="0" applyNumberFormat="1" applyFont="1" applyAlignment="1">
      <alignment horizontal="center" vertical="center"/>
    </xf>
    <xf numFmtId="0" fontId="191" fillId="0" borderId="1" xfId="0" applyNumberFormat="1" applyFont="1" applyFill="1" applyBorder="1" applyAlignment="1">
      <alignment horizontal="center" vertical="center"/>
    </xf>
    <xf numFmtId="167" fontId="177" fillId="0" borderId="1" xfId="0" applyNumberFormat="1" applyFont="1" applyBorder="1" applyAlignment="1">
      <alignment horizontal="center"/>
    </xf>
    <xf numFmtId="0" fontId="177" fillId="0" borderId="1" xfId="0" applyFont="1" applyBorder="1" applyAlignment="1">
      <alignment horizontal="center"/>
    </xf>
    <xf numFmtId="0" fontId="45" fillId="0" borderId="1" xfId="0" applyFont="1" applyFill="1" applyBorder="1" applyAlignment="1">
      <alignment horizontal="left" vertical="center" wrapText="1"/>
    </xf>
    <xf numFmtId="1" fontId="180" fillId="40" borderId="1" xfId="0" applyNumberFormat="1" applyFont="1" applyFill="1" applyBorder="1" applyAlignment="1">
      <alignment horizontal="center" vertical="center" wrapText="1"/>
    </xf>
    <xf numFmtId="1" fontId="182" fillId="40" borderId="1" xfId="0" applyNumberFormat="1" applyFont="1" applyFill="1" applyBorder="1" applyAlignment="1">
      <alignment horizontal="center" vertical="center" wrapText="1"/>
    </xf>
    <xf numFmtId="1" fontId="182" fillId="40" borderId="10" xfId="0" applyNumberFormat="1" applyFont="1" applyFill="1" applyBorder="1" applyAlignment="1">
      <alignment horizontal="center" vertical="center" wrapText="1"/>
    </xf>
    <xf numFmtId="1" fontId="45" fillId="40" borderId="1" xfId="0" applyNumberFormat="1" applyFont="1" applyFill="1" applyBorder="1" applyAlignment="1">
      <alignment horizontal="center" vertical="center" wrapText="1"/>
    </xf>
    <xf numFmtId="1" fontId="45" fillId="40" borderId="10" xfId="0" applyNumberFormat="1" applyFont="1" applyFill="1" applyBorder="1" applyAlignment="1">
      <alignment horizontal="center" vertical="center" wrapText="1"/>
    </xf>
    <xf numFmtId="1" fontId="182" fillId="0" borderId="10" xfId="0" applyNumberFormat="1" applyFont="1" applyFill="1" applyBorder="1" applyAlignment="1">
      <alignment horizontal="center" vertical="center" wrapText="1"/>
    </xf>
    <xf numFmtId="1" fontId="43" fillId="0" borderId="1" xfId="0" applyNumberFormat="1" applyFont="1" applyFill="1" applyBorder="1" applyAlignment="1">
      <alignment vertical="center"/>
    </xf>
    <xf numFmtId="1" fontId="43" fillId="0" borderId="1" xfId="0" applyNumberFormat="1" applyFont="1" applyFill="1" applyBorder="1" applyAlignment="1">
      <alignment horizontal="center" vertical="center"/>
    </xf>
    <xf numFmtId="0" fontId="177" fillId="40" borderId="0" xfId="0" applyFont="1" applyFill="1"/>
    <xf numFmtId="1" fontId="182" fillId="35" borderId="18" xfId="0" applyNumberFormat="1" applyFont="1" applyFill="1" applyBorder="1" applyAlignment="1">
      <alignment horizontal="left" wrapText="1"/>
    </xf>
    <xf numFmtId="0" fontId="177" fillId="0" borderId="0" xfId="0" applyFont="1" applyFill="1" applyAlignment="1">
      <alignment wrapText="1"/>
    </xf>
    <xf numFmtId="1" fontId="192" fillId="0" borderId="1" xfId="0" applyNumberFormat="1" applyFont="1" applyFill="1" applyBorder="1" applyAlignment="1">
      <alignment horizontal="center" vertical="center" wrapText="1"/>
    </xf>
    <xf numFmtId="1" fontId="189" fillId="0" borderId="1" xfId="0" applyNumberFormat="1" applyFont="1" applyFill="1" applyBorder="1" applyAlignment="1">
      <alignment horizontal="center" vertical="center" wrapText="1"/>
    </xf>
    <xf numFmtId="167" fontId="189" fillId="0" borderId="1" xfId="0" applyNumberFormat="1" applyFont="1" applyFill="1" applyBorder="1" applyAlignment="1">
      <alignment horizontal="center" vertical="center" wrapText="1"/>
    </xf>
    <xf numFmtId="0" fontId="189" fillId="0" borderId="0" xfId="0" applyFont="1" applyFill="1"/>
    <xf numFmtId="0" fontId="180" fillId="105" borderId="1" xfId="0" applyFont="1" applyFill="1" applyBorder="1" applyAlignment="1">
      <alignment horizontal="left" vertical="center" wrapText="1"/>
    </xf>
    <xf numFmtId="1" fontId="182" fillId="105" borderId="1" xfId="0" applyNumberFormat="1" applyFont="1" applyFill="1" applyBorder="1" applyAlignment="1">
      <alignment horizontal="center" vertical="center" wrapText="1"/>
    </xf>
    <xf numFmtId="0" fontId="177" fillId="105" borderId="0" xfId="0" applyFont="1" applyFill="1"/>
    <xf numFmtId="1" fontId="182" fillId="105" borderId="1" xfId="0" applyNumberFormat="1" applyFont="1" applyFill="1" applyBorder="1" applyAlignment="1">
      <alignment horizontal="center" vertical="center"/>
    </xf>
    <xf numFmtId="1" fontId="45" fillId="105" borderId="1" xfId="0" applyNumberFormat="1" applyFont="1" applyFill="1" applyBorder="1" applyAlignment="1">
      <alignment horizontal="left" wrapText="1"/>
    </xf>
    <xf numFmtId="167" fontId="182" fillId="105" borderId="1" xfId="0" applyNumberFormat="1" applyFont="1" applyFill="1" applyBorder="1" applyAlignment="1">
      <alignment horizontal="center" vertical="center" wrapText="1"/>
    </xf>
    <xf numFmtId="1" fontId="190" fillId="35" borderId="1" xfId="0" applyNumberFormat="1" applyFont="1" applyFill="1" applyBorder="1" applyAlignment="1">
      <alignment horizontal="center" vertical="center" wrapText="1"/>
    </xf>
    <xf numFmtId="167" fontId="187" fillId="37" borderId="1" xfId="0" applyNumberFormat="1" applyFont="1" applyFill="1" applyBorder="1" applyAlignment="1">
      <alignment horizontal="center" vertical="center" wrapText="1"/>
    </xf>
    <xf numFmtId="1" fontId="180" fillId="90" borderId="1" xfId="0" applyNumberFormat="1" applyFont="1" applyFill="1" applyBorder="1" applyAlignment="1">
      <alignment horizontal="center" vertical="center" wrapText="1"/>
    </xf>
    <xf numFmtId="167" fontId="182" fillId="90" borderId="1" xfId="0" applyNumberFormat="1" applyFont="1" applyFill="1" applyBorder="1" applyAlignment="1">
      <alignment horizontal="center" vertical="center" wrapText="1"/>
    </xf>
    <xf numFmtId="0" fontId="177" fillId="35" borderId="0" xfId="0" applyFont="1" applyFill="1"/>
    <xf numFmtId="0" fontId="177" fillId="0" borderId="0" xfId="0" applyFont="1" applyAlignment="1">
      <alignment wrapText="1"/>
    </xf>
    <xf numFmtId="0" fontId="180" fillId="0" borderId="2" xfId="0" applyFont="1" applyFill="1" applyBorder="1" applyAlignment="1">
      <alignment horizontal="left" vertical="center" wrapText="1"/>
    </xf>
    <xf numFmtId="1" fontId="182" fillId="0" borderId="2" xfId="0" applyNumberFormat="1" applyFont="1" applyFill="1" applyBorder="1" applyAlignment="1">
      <alignment horizontal="center" vertical="center" wrapText="1"/>
    </xf>
    <xf numFmtId="1" fontId="182" fillId="35" borderId="2" xfId="0" applyNumberFormat="1" applyFont="1" applyFill="1" applyBorder="1" applyAlignment="1">
      <alignment horizontal="center" vertical="center" wrapText="1"/>
    </xf>
    <xf numFmtId="0" fontId="180" fillId="105" borderId="2" xfId="0" applyFont="1" applyFill="1" applyBorder="1" applyAlignment="1">
      <alignment horizontal="left" vertical="center" wrapText="1"/>
    </xf>
    <xf numFmtId="1" fontId="182" fillId="105" borderId="107" xfId="0" applyNumberFormat="1" applyFont="1" applyFill="1" applyBorder="1" applyAlignment="1">
      <alignment horizontal="center" vertical="center" wrapText="1"/>
    </xf>
    <xf numFmtId="1" fontId="182" fillId="105" borderId="2" xfId="0" applyNumberFormat="1" applyFont="1" applyFill="1" applyBorder="1" applyAlignment="1">
      <alignment horizontal="center" vertical="center" wrapText="1"/>
    </xf>
    <xf numFmtId="1" fontId="182" fillId="40" borderId="1" xfId="0" applyNumberFormat="1" applyFont="1" applyFill="1" applyBorder="1" applyAlignment="1">
      <alignment horizontal="center" vertical="center"/>
    </xf>
    <xf numFmtId="167" fontId="182" fillId="105" borderId="2" xfId="0" applyNumberFormat="1" applyFont="1" applyFill="1" applyBorder="1" applyAlignment="1">
      <alignment horizontal="center" vertical="center" wrapText="1"/>
    </xf>
    <xf numFmtId="0" fontId="186" fillId="37" borderId="2" xfId="0" applyFont="1" applyFill="1" applyBorder="1" applyAlignment="1">
      <alignment horizontal="left" vertical="center" wrapText="1"/>
    </xf>
    <xf numFmtId="1" fontId="193" fillId="37" borderId="107" xfId="0" applyNumberFormat="1" applyFont="1" applyFill="1" applyBorder="1" applyAlignment="1">
      <alignment horizontal="center" vertical="center" wrapText="1"/>
    </xf>
    <xf numFmtId="1" fontId="190" fillId="37" borderId="2" xfId="0" applyNumberFormat="1" applyFont="1" applyFill="1" applyBorder="1" applyAlignment="1">
      <alignment horizontal="center" vertical="center" wrapText="1"/>
    </xf>
    <xf numFmtId="1" fontId="182" fillId="37" borderId="2" xfId="0" applyNumberFormat="1" applyFont="1" applyFill="1" applyBorder="1" applyAlignment="1">
      <alignment horizontal="center" vertical="center" wrapText="1"/>
    </xf>
    <xf numFmtId="1" fontId="190" fillId="37" borderId="1" xfId="0" applyNumberFormat="1" applyFont="1" applyFill="1" applyBorder="1" applyAlignment="1">
      <alignment horizontal="center" vertical="center" wrapText="1"/>
    </xf>
    <xf numFmtId="1" fontId="190" fillId="37" borderId="1" xfId="0" applyNumberFormat="1" applyFont="1" applyFill="1" applyBorder="1" applyAlignment="1">
      <alignment horizontal="center" vertical="center"/>
    </xf>
    <xf numFmtId="1" fontId="190" fillId="37" borderId="1" xfId="0" applyNumberFormat="1" applyFont="1" applyFill="1" applyBorder="1" applyAlignment="1">
      <alignment horizontal="left" wrapText="1"/>
    </xf>
    <xf numFmtId="167" fontId="190" fillId="37" borderId="2" xfId="0" applyNumberFormat="1" applyFont="1" applyFill="1" applyBorder="1" applyAlignment="1">
      <alignment horizontal="center" vertical="center" wrapText="1"/>
    </xf>
    <xf numFmtId="1" fontId="182" fillId="0" borderId="2" xfId="0" applyNumberFormat="1" applyFont="1" applyFill="1" applyBorder="1" applyAlignment="1">
      <alignment horizontal="center" vertical="center"/>
    </xf>
    <xf numFmtId="1" fontId="182" fillId="0" borderId="2" xfId="0" applyNumberFormat="1" applyFont="1" applyFill="1" applyBorder="1" applyAlignment="1">
      <alignment horizontal="left" wrapText="1"/>
    </xf>
    <xf numFmtId="167" fontId="182" fillId="0" borderId="2" xfId="0" applyNumberFormat="1" applyFont="1" applyFill="1" applyBorder="1" applyAlignment="1">
      <alignment horizontal="center" vertical="center" wrapText="1"/>
    </xf>
    <xf numFmtId="0" fontId="45" fillId="0" borderId="11" xfId="0" applyFont="1" applyFill="1" applyBorder="1" applyAlignment="1">
      <alignment horizontal="left" vertical="center" wrapText="1"/>
    </xf>
    <xf numFmtId="1" fontId="45" fillId="0" borderId="6" xfId="0" applyNumberFormat="1" applyFont="1" applyFill="1" applyBorder="1" applyAlignment="1">
      <alignment horizontal="center" vertical="center" wrapText="1"/>
    </xf>
    <xf numFmtId="1" fontId="45" fillId="0" borderId="100" xfId="0" applyNumberFormat="1" applyFont="1" applyFill="1" applyBorder="1" applyAlignment="1">
      <alignment horizontal="left" wrapText="1"/>
    </xf>
    <xf numFmtId="167" fontId="45" fillId="0" borderId="7" xfId="0" applyNumberFormat="1" applyFont="1" applyFill="1" applyBorder="1" applyAlignment="1">
      <alignment horizontal="center" vertical="center" wrapText="1"/>
    </xf>
    <xf numFmtId="1" fontId="45" fillId="0" borderId="8" xfId="0" applyNumberFormat="1" applyFont="1" applyFill="1" applyBorder="1" applyAlignment="1">
      <alignment horizontal="center" vertical="center" wrapText="1"/>
    </xf>
    <xf numFmtId="0" fontId="194" fillId="0" borderId="0" xfId="0" applyFont="1" applyBorder="1" applyAlignment="1">
      <alignment horizontal="left" vertical="top"/>
    </xf>
    <xf numFmtId="167" fontId="182" fillId="0" borderId="0" xfId="0" applyNumberFormat="1" applyFont="1" applyBorder="1" applyAlignment="1">
      <alignment horizontal="center" vertical="center"/>
    </xf>
    <xf numFmtId="167" fontId="182" fillId="35" borderId="0" xfId="0" applyNumberFormat="1" applyFont="1" applyFill="1" applyBorder="1" applyAlignment="1">
      <alignment horizontal="center" vertical="center"/>
    </xf>
    <xf numFmtId="1" fontId="177" fillId="0" borderId="0" xfId="0" applyNumberFormat="1" applyFont="1" applyBorder="1" applyAlignment="1">
      <alignment horizontal="left" vertical="top"/>
    </xf>
    <xf numFmtId="0" fontId="186" fillId="0" borderId="0" xfId="0" applyFont="1" applyBorder="1" applyAlignment="1">
      <alignment horizontal="left" vertical="top"/>
    </xf>
    <xf numFmtId="167" fontId="190" fillId="0" borderId="0" xfId="0" applyNumberFormat="1" applyFont="1" applyBorder="1" applyAlignment="1">
      <alignment horizontal="center" vertical="center"/>
    </xf>
    <xf numFmtId="167" fontId="190" fillId="35" borderId="0" xfId="0" applyNumberFormat="1" applyFont="1" applyFill="1" applyBorder="1" applyAlignment="1">
      <alignment horizontal="center" vertical="center"/>
    </xf>
    <xf numFmtId="1" fontId="190" fillId="0" borderId="0" xfId="0" applyNumberFormat="1" applyFont="1" applyBorder="1" applyAlignment="1">
      <alignment horizontal="left" vertical="top"/>
    </xf>
    <xf numFmtId="1" fontId="177" fillId="0" borderId="0" xfId="0" applyNumberFormat="1" applyFont="1"/>
    <xf numFmtId="1" fontId="182" fillId="35" borderId="0" xfId="0" applyNumberFormat="1" applyFont="1" applyFill="1" applyAlignment="1">
      <alignment horizontal="center"/>
    </xf>
    <xf numFmtId="0" fontId="194" fillId="0" borderId="0" xfId="0" applyNumberFormat="1" applyFont="1" applyAlignment="1">
      <alignment horizontal="left" vertical="top"/>
    </xf>
    <xf numFmtId="2" fontId="177" fillId="0" borderId="0" xfId="0" applyNumberFormat="1" applyFont="1"/>
    <xf numFmtId="2" fontId="182" fillId="35" borderId="0" xfId="0" applyNumberFormat="1" applyFont="1" applyFill="1" applyAlignment="1">
      <alignment horizontal="center"/>
    </xf>
    <xf numFmtId="0" fontId="182" fillId="35" borderId="0" xfId="0" applyFont="1" applyFill="1" applyAlignment="1">
      <alignment horizontal="center"/>
    </xf>
    <xf numFmtId="167" fontId="177" fillId="0" borderId="0" xfId="0" applyNumberFormat="1" applyFont="1"/>
    <xf numFmtId="167" fontId="182" fillId="35" borderId="0" xfId="0" applyNumberFormat="1" applyFont="1" applyFill="1" applyAlignment="1">
      <alignment horizontal="center"/>
    </xf>
    <xf numFmtId="0" fontId="186" fillId="0" borderId="0" xfId="0" applyNumberFormat="1" applyFont="1" applyAlignment="1">
      <alignment horizontal="center" vertical="center"/>
    </xf>
    <xf numFmtId="0" fontId="177" fillId="35" borderId="0" xfId="0" applyNumberFormat="1" applyFont="1" applyFill="1" applyAlignment="1">
      <alignment horizontal="center" vertical="center"/>
    </xf>
    <xf numFmtId="167" fontId="177" fillId="0" borderId="0" xfId="0" applyNumberFormat="1" applyFont="1" applyAlignment="1">
      <alignment horizontal="center" vertical="center"/>
    </xf>
    <xf numFmtId="0" fontId="7" fillId="2" borderId="83" xfId="0" applyFont="1" applyFill="1" applyBorder="1" applyAlignment="1">
      <alignment horizontal="center" vertical="center"/>
    </xf>
    <xf numFmtId="0" fontId="7" fillId="2" borderId="84" xfId="0" applyFont="1" applyFill="1" applyBorder="1" applyAlignment="1">
      <alignment horizontal="center" vertical="center"/>
    </xf>
    <xf numFmtId="0" fontId="68" fillId="36" borderId="19" xfId="0" applyFont="1" applyFill="1" applyBorder="1" applyAlignment="1">
      <alignment horizontal="center" vertical="center"/>
    </xf>
    <xf numFmtId="1" fontId="55" fillId="43" borderId="69" xfId="0" applyNumberFormat="1" applyFont="1" applyFill="1" applyBorder="1" applyAlignment="1">
      <alignment horizontal="center" vertical="center"/>
    </xf>
    <xf numFmtId="0" fontId="3" fillId="2" borderId="19" xfId="0" applyNumberFormat="1" applyFont="1" applyFill="1" applyBorder="1" applyAlignment="1">
      <alignment horizontal="center" vertical="center"/>
    </xf>
    <xf numFmtId="0" fontId="3" fillId="2" borderId="85" xfId="0" applyNumberFormat="1" applyFont="1" applyFill="1" applyBorder="1" applyAlignment="1">
      <alignment horizontal="center" vertical="center"/>
    </xf>
    <xf numFmtId="1" fontId="43" fillId="40" borderId="1" xfId="0" applyNumberFormat="1" applyFont="1" applyFill="1" applyBorder="1" applyAlignment="1">
      <alignment horizontal="center" vertical="center" wrapText="1"/>
    </xf>
    <xf numFmtId="1" fontId="55" fillId="43" borderId="68" xfId="0" applyNumberFormat="1" applyFont="1" applyFill="1" applyBorder="1" applyAlignment="1">
      <alignment horizontal="center" vertical="center"/>
    </xf>
    <xf numFmtId="0" fontId="7" fillId="42" borderId="64" xfId="0" applyFont="1" applyFill="1" applyBorder="1" applyAlignment="1">
      <alignment horizontal="left" vertical="top" wrapText="1"/>
    </xf>
    <xf numFmtId="0" fontId="5" fillId="42" borderId="102" xfId="0" applyNumberFormat="1" applyFont="1" applyFill="1" applyBorder="1" applyAlignment="1">
      <alignment horizontal="center" vertical="center" wrapText="1"/>
    </xf>
    <xf numFmtId="0" fontId="5" fillId="42" borderId="47" xfId="0" applyNumberFormat="1" applyFont="1" applyFill="1" applyBorder="1" applyAlignment="1">
      <alignment horizontal="center" vertical="center" wrapText="1"/>
    </xf>
    <xf numFmtId="0" fontId="5" fillId="42" borderId="67" xfId="0" applyNumberFormat="1" applyFont="1" applyFill="1" applyBorder="1" applyAlignment="1">
      <alignment horizontal="center" vertical="center" wrapText="1"/>
    </xf>
    <xf numFmtId="0" fontId="7" fillId="42" borderId="32" xfId="0" applyNumberFormat="1" applyFont="1" applyFill="1" applyBorder="1" applyAlignment="1">
      <alignment horizontal="left" vertical="top" wrapText="1"/>
    </xf>
    <xf numFmtId="0" fontId="5" fillId="42" borderId="67" xfId="0" applyFont="1" applyFill="1" applyBorder="1" applyAlignment="1">
      <alignment horizontal="center"/>
    </xf>
    <xf numFmtId="0" fontId="7" fillId="0" borderId="68" xfId="0" applyFont="1" applyFill="1" applyBorder="1" applyAlignment="1">
      <alignment horizontal="left" vertical="center" wrapText="1"/>
    </xf>
    <xf numFmtId="1" fontId="5" fillId="0" borderId="49" xfId="0" applyNumberFormat="1" applyFont="1" applyFill="1" applyBorder="1" applyAlignment="1">
      <alignment horizontal="center" vertical="center" wrapText="1"/>
    </xf>
    <xf numFmtId="1" fontId="5" fillId="0" borderId="10" xfId="0" applyNumberFormat="1" applyFont="1" applyFill="1" applyBorder="1" applyAlignment="1">
      <alignment horizontal="center" vertical="center"/>
    </xf>
    <xf numFmtId="1" fontId="5" fillId="0" borderId="62" xfId="0" applyNumberFormat="1" applyFont="1" applyFill="1" applyBorder="1" applyAlignment="1">
      <alignment horizontal="center" vertical="center"/>
    </xf>
    <xf numFmtId="1" fontId="5" fillId="0" borderId="18" xfId="0" applyNumberFormat="1" applyFont="1" applyFill="1" applyBorder="1" applyAlignment="1">
      <alignment horizontal="left" wrapText="1"/>
    </xf>
    <xf numFmtId="0" fontId="5" fillId="0" borderId="62" xfId="0" applyFont="1" applyFill="1" applyBorder="1" applyAlignment="1">
      <alignment horizontal="center" vertical="center" wrapText="1"/>
    </xf>
    <xf numFmtId="1" fontId="5" fillId="0" borderId="10" xfId="0" applyNumberFormat="1" applyFont="1" applyFill="1" applyBorder="1" applyAlignment="1">
      <alignment horizontal="center" vertical="center" wrapText="1"/>
    </xf>
    <xf numFmtId="1" fontId="5" fillId="0" borderId="62" xfId="0" applyNumberFormat="1" applyFont="1" applyFill="1" applyBorder="1" applyAlignment="1">
      <alignment horizontal="center" vertical="center" wrapText="1"/>
    </xf>
    <xf numFmtId="0" fontId="7" fillId="42" borderId="68" xfId="0" applyFont="1" applyFill="1" applyBorder="1" applyAlignment="1">
      <alignment horizontal="left" vertical="center" wrapText="1"/>
    </xf>
    <xf numFmtId="1" fontId="5" fillId="42" borderId="49" xfId="0" applyNumberFormat="1" applyFont="1" applyFill="1" applyBorder="1" applyAlignment="1">
      <alignment horizontal="center" vertical="center" wrapText="1"/>
    </xf>
    <xf numFmtId="1" fontId="5" fillId="42" borderId="10" xfId="0" applyNumberFormat="1" applyFont="1" applyFill="1" applyBorder="1" applyAlignment="1">
      <alignment horizontal="center" vertical="center" wrapText="1"/>
    </xf>
    <xf numFmtId="1" fontId="5" fillId="42" borderId="62" xfId="0" applyNumberFormat="1" applyFont="1" applyFill="1" applyBorder="1" applyAlignment="1">
      <alignment horizontal="center" vertical="center" wrapText="1"/>
    </xf>
    <xf numFmtId="1" fontId="5" fillId="42" borderId="18" xfId="0" applyNumberFormat="1" applyFont="1" applyFill="1" applyBorder="1" applyAlignment="1">
      <alignment horizontal="left" wrapText="1"/>
    </xf>
    <xf numFmtId="167" fontId="5" fillId="42" borderId="62" xfId="0" applyNumberFormat="1" applyFont="1" applyFill="1" applyBorder="1" applyAlignment="1">
      <alignment horizontal="center" vertical="center" wrapText="1"/>
    </xf>
    <xf numFmtId="1" fontId="5" fillId="0" borderId="49" xfId="0" quotePrefix="1" applyNumberFormat="1" applyFont="1" applyFill="1" applyBorder="1" applyAlignment="1">
      <alignment horizontal="center" vertical="center"/>
    </xf>
    <xf numFmtId="0" fontId="7" fillId="35" borderId="68" xfId="0" applyFont="1" applyFill="1" applyBorder="1" applyAlignment="1">
      <alignment horizontal="left" vertical="center" wrapText="1"/>
    </xf>
    <xf numFmtId="1" fontId="5" fillId="35" borderId="49" xfId="0" applyNumberFormat="1" applyFont="1" applyFill="1" applyBorder="1" applyAlignment="1">
      <alignment horizontal="center" vertical="center" wrapText="1"/>
    </xf>
    <xf numFmtId="1" fontId="5" fillId="35" borderId="18" xfId="0" applyNumberFormat="1" applyFont="1" applyFill="1" applyBorder="1" applyAlignment="1">
      <alignment horizontal="left" wrapText="1"/>
    </xf>
    <xf numFmtId="167" fontId="5" fillId="35" borderId="62" xfId="0" applyNumberFormat="1" applyFont="1" applyFill="1" applyBorder="1" applyAlignment="1">
      <alignment horizontal="center" vertical="center" wrapText="1"/>
    </xf>
    <xf numFmtId="1" fontId="5" fillId="0" borderId="10" xfId="0" applyNumberFormat="1" applyFont="1" applyFill="1" applyBorder="1" applyAlignment="1">
      <alignment vertical="center"/>
    </xf>
    <xf numFmtId="1" fontId="5" fillId="0" borderId="62" xfId="0" applyNumberFormat="1" applyFont="1" applyFill="1" applyBorder="1" applyAlignment="1">
      <alignment vertical="center"/>
    </xf>
    <xf numFmtId="167" fontId="5" fillId="0" borderId="62" xfId="0" applyNumberFormat="1" applyFont="1" applyFill="1" applyBorder="1" applyAlignment="1">
      <alignment horizontal="center" vertical="center" wrapText="1"/>
    </xf>
    <xf numFmtId="0" fontId="7" fillId="0" borderId="76" xfId="0" applyFont="1" applyFill="1" applyBorder="1" applyAlignment="1">
      <alignment horizontal="left" vertical="center" wrapText="1"/>
    </xf>
    <xf numFmtId="1" fontId="5" fillId="0" borderId="80" xfId="0" applyNumberFormat="1" applyFont="1" applyFill="1" applyBorder="1" applyAlignment="1">
      <alignment horizontal="center" vertical="center" wrapText="1"/>
    </xf>
    <xf numFmtId="1" fontId="5" fillId="0" borderId="99" xfId="0" applyNumberFormat="1" applyFont="1" applyFill="1" applyBorder="1" applyAlignment="1">
      <alignment horizontal="center" vertical="center"/>
    </xf>
    <xf numFmtId="1" fontId="5" fillId="0" borderId="95" xfId="0" applyNumberFormat="1" applyFont="1" applyFill="1" applyBorder="1" applyAlignment="1">
      <alignment horizontal="center" vertical="center"/>
    </xf>
    <xf numFmtId="1" fontId="5" fillId="0" borderId="107" xfId="0" applyNumberFormat="1" applyFont="1" applyFill="1" applyBorder="1" applyAlignment="1">
      <alignment horizontal="left" wrapText="1"/>
    </xf>
    <xf numFmtId="167" fontId="5" fillId="0" borderId="2" xfId="0" applyNumberFormat="1" applyFont="1" applyFill="1" applyBorder="1" applyAlignment="1">
      <alignment horizontal="center" vertical="center" wrapText="1"/>
    </xf>
    <xf numFmtId="1" fontId="5" fillId="0" borderId="95" xfId="0" applyNumberFormat="1" applyFont="1" applyFill="1" applyBorder="1" applyAlignment="1">
      <alignment horizontal="center" vertical="center" wrapText="1"/>
    </xf>
    <xf numFmtId="0" fontId="7" fillId="0" borderId="11" xfId="0" applyFont="1" applyFill="1" applyBorder="1" applyAlignment="1">
      <alignment horizontal="left" vertical="center" wrapText="1"/>
    </xf>
    <xf numFmtId="3" fontId="5" fillId="0" borderId="11" xfId="0" applyNumberFormat="1" applyFont="1" applyFill="1" applyBorder="1" applyAlignment="1">
      <alignment horizontal="center" vertical="center" wrapText="1"/>
    </xf>
    <xf numFmtId="3" fontId="5" fillId="0" borderId="22" xfId="0" applyNumberFormat="1" applyFont="1" applyFill="1" applyBorder="1" applyAlignment="1">
      <alignment horizontal="center" vertical="center" wrapText="1"/>
    </xf>
    <xf numFmtId="1" fontId="7" fillId="0" borderId="100" xfId="0" applyNumberFormat="1" applyFont="1" applyFill="1" applyBorder="1" applyAlignment="1">
      <alignment horizontal="left" wrapText="1"/>
    </xf>
    <xf numFmtId="167" fontId="5" fillId="0" borderId="7" xfId="0" applyNumberFormat="1" applyFont="1" applyFill="1" applyBorder="1" applyAlignment="1">
      <alignment horizontal="center" vertical="center" wrapText="1"/>
    </xf>
    <xf numFmtId="1" fontId="5" fillId="0" borderId="8" xfId="0" applyNumberFormat="1" applyFont="1" applyFill="1" applyBorder="1" applyAlignment="1">
      <alignment horizontal="center" vertical="center" wrapText="1"/>
    </xf>
    <xf numFmtId="167" fontId="51" fillId="0" borderId="0" xfId="0" applyNumberFormat="1" applyFont="1" applyFill="1"/>
    <xf numFmtId="0" fontId="52" fillId="35" borderId="0" xfId="0" applyFont="1" applyFill="1"/>
    <xf numFmtId="0" fontId="57" fillId="0" borderId="68" xfId="0" applyFont="1" applyFill="1" applyBorder="1" applyAlignment="1">
      <alignment horizontal="left" vertical="center" wrapText="1"/>
    </xf>
    <xf numFmtId="1" fontId="52" fillId="0" borderId="49" xfId="0" applyNumberFormat="1" applyFont="1" applyFill="1" applyBorder="1" applyAlignment="1">
      <alignment horizontal="center" vertical="center" wrapText="1"/>
    </xf>
    <xf numFmtId="1" fontId="52" fillId="0" borderId="10" xfId="0" applyNumberFormat="1" applyFont="1" applyFill="1" applyBorder="1" applyAlignment="1">
      <alignment horizontal="center" vertical="center" wrapText="1"/>
    </xf>
    <xf numFmtId="1" fontId="52" fillId="0" borderId="62" xfId="0" applyNumberFormat="1" applyFont="1" applyFill="1" applyBorder="1" applyAlignment="1">
      <alignment horizontal="center" vertical="center" wrapText="1"/>
    </xf>
    <xf numFmtId="1" fontId="52" fillId="0" borderId="18" xfId="0" applyNumberFormat="1" applyFont="1" applyFill="1" applyBorder="1" applyAlignment="1">
      <alignment horizontal="left" wrapText="1"/>
    </xf>
    <xf numFmtId="167" fontId="52" fillId="0" borderId="1" xfId="0" applyNumberFormat="1" applyFont="1" applyFill="1" applyBorder="1" applyAlignment="1">
      <alignment horizontal="center" vertical="center" wrapText="1"/>
    </xf>
    <xf numFmtId="167" fontId="5" fillId="0" borderId="1" xfId="0" applyNumberFormat="1" applyFont="1" applyFill="1" applyBorder="1" applyAlignment="1">
      <alignment horizontal="center" vertical="center"/>
    </xf>
    <xf numFmtId="167" fontId="5" fillId="0" borderId="62" xfId="0" applyNumberFormat="1" applyFont="1" applyFill="1" applyBorder="1" applyAlignment="1">
      <alignment horizontal="center" vertical="center"/>
    </xf>
    <xf numFmtId="167" fontId="5" fillId="0" borderId="1" xfId="0" applyNumberFormat="1" applyFont="1" applyFill="1" applyBorder="1" applyAlignment="1">
      <alignment vertical="center"/>
    </xf>
    <xf numFmtId="0" fontId="196" fillId="0" borderId="0" xfId="0" applyFont="1" applyAlignment="1"/>
    <xf numFmtId="167" fontId="5" fillId="35" borderId="1" xfId="0" applyNumberFormat="1" applyFont="1" applyFill="1" applyBorder="1" applyAlignment="1">
      <alignment horizontal="center" vertical="center"/>
    </xf>
    <xf numFmtId="167" fontId="5" fillId="35" borderId="1" xfId="0" applyNumberFormat="1" applyFont="1" applyFill="1" applyBorder="1" applyAlignment="1">
      <alignment vertical="center"/>
    </xf>
    <xf numFmtId="167" fontId="5" fillId="35" borderId="62" xfId="0" applyNumberFormat="1" applyFont="1" applyFill="1" applyBorder="1" applyAlignment="1">
      <alignment horizontal="center" vertical="center"/>
    </xf>
    <xf numFmtId="167" fontId="5" fillId="91" borderId="1" xfId="0" applyNumberFormat="1" applyFont="1" applyFill="1" applyBorder="1" applyAlignment="1">
      <alignment horizontal="center" vertical="center" wrapText="1"/>
    </xf>
    <xf numFmtId="167" fontId="5" fillId="91" borderId="62" xfId="0" applyNumberFormat="1" applyFont="1" applyFill="1" applyBorder="1" applyAlignment="1">
      <alignment horizontal="center" vertical="center" wrapText="1"/>
    </xf>
    <xf numFmtId="167" fontId="5" fillId="91" borderId="1" xfId="0" applyNumberFormat="1" applyFont="1" applyFill="1" applyBorder="1" applyAlignment="1">
      <alignment horizontal="center" vertical="center"/>
    </xf>
    <xf numFmtId="167" fontId="59" fillId="91" borderId="1" xfId="0" applyNumberFormat="1" applyFont="1" applyFill="1" applyBorder="1" applyAlignment="1">
      <alignment horizontal="center" vertical="center" wrapText="1"/>
    </xf>
    <xf numFmtId="167" fontId="59" fillId="35" borderId="1" xfId="0" applyNumberFormat="1" applyFont="1" applyFill="1" applyBorder="1" applyAlignment="1">
      <alignment horizontal="center" vertical="center" wrapText="1"/>
    </xf>
    <xf numFmtId="167" fontId="59" fillId="35" borderId="1" xfId="0" applyNumberFormat="1" applyFont="1" applyFill="1" applyBorder="1" applyAlignment="1">
      <alignment horizontal="center" vertical="center"/>
    </xf>
    <xf numFmtId="167" fontId="5" fillId="91" borderId="1" xfId="0" applyNumberFormat="1" applyFont="1" applyFill="1" applyBorder="1" applyAlignment="1">
      <alignment vertical="center"/>
    </xf>
    <xf numFmtId="167" fontId="197" fillId="91" borderId="1" xfId="0" applyNumberFormat="1" applyFont="1" applyFill="1" applyBorder="1" applyAlignment="1">
      <alignment vertical="center"/>
    </xf>
    <xf numFmtId="167" fontId="197" fillId="91" borderId="1" xfId="0" applyNumberFormat="1" applyFont="1" applyFill="1" applyBorder="1" applyAlignment="1">
      <alignment horizontal="center" vertical="center" wrapText="1"/>
    </xf>
    <xf numFmtId="167" fontId="197" fillId="91" borderId="1" xfId="0" applyNumberFormat="1" applyFont="1" applyFill="1" applyBorder="1" applyAlignment="1">
      <alignment horizontal="center" vertical="center"/>
    </xf>
    <xf numFmtId="167" fontId="197" fillId="91" borderId="62" xfId="0" applyNumberFormat="1" applyFont="1" applyFill="1" applyBorder="1" applyAlignment="1">
      <alignment vertical="center"/>
    </xf>
    <xf numFmtId="0" fontId="198" fillId="0" borderId="0" xfId="0" applyFont="1" applyAlignment="1">
      <alignment horizontal="left" vertical="top"/>
    </xf>
    <xf numFmtId="1" fontId="55" fillId="43"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7" fillId="2" borderId="1" xfId="0" applyFont="1" applyFill="1" applyBorder="1" applyAlignment="1">
      <alignment horizontal="center" vertical="center"/>
    </xf>
    <xf numFmtId="0" fontId="68" fillId="35" borderId="101" xfId="0" applyFont="1" applyFill="1" applyBorder="1" applyAlignment="1">
      <alignment horizontal="center" vertical="center"/>
    </xf>
    <xf numFmtId="0" fontId="63" fillId="35" borderId="29" xfId="0" applyFont="1" applyFill="1" applyBorder="1" applyAlignment="1">
      <alignment horizontal="center" vertical="center"/>
    </xf>
    <xf numFmtId="0" fontId="63" fillId="35" borderId="60" xfId="0" applyFont="1" applyFill="1" applyBorder="1" applyAlignment="1">
      <alignment horizontal="center" vertical="center"/>
    </xf>
    <xf numFmtId="1" fontId="55" fillId="43" borderId="62" xfId="0" applyNumberFormat="1" applyFont="1" applyFill="1" applyBorder="1" applyAlignment="1">
      <alignment horizontal="center" vertical="center"/>
    </xf>
    <xf numFmtId="0" fontId="3" fillId="2" borderId="62" xfId="0" applyNumberFormat="1" applyFont="1" applyFill="1" applyBorder="1" applyAlignment="1">
      <alignment horizontal="center" vertical="center"/>
    </xf>
    <xf numFmtId="0" fontId="7" fillId="2" borderId="49" xfId="0" applyFont="1" applyFill="1" applyBorder="1" applyAlignment="1">
      <alignment horizontal="center" vertical="center"/>
    </xf>
    <xf numFmtId="0" fontId="7" fillId="2" borderId="62" xfId="0" applyFont="1" applyFill="1" applyBorder="1" applyAlignment="1">
      <alignment horizontal="center" vertical="center"/>
    </xf>
    <xf numFmtId="0" fontId="44" fillId="35" borderId="49" xfId="0" applyFont="1" applyFill="1" applyBorder="1" applyAlignment="1">
      <alignment horizontal="left" vertical="center" wrapText="1"/>
    </xf>
    <xf numFmtId="0" fontId="5" fillId="35" borderId="49" xfId="0" applyFont="1" applyFill="1" applyBorder="1" applyAlignment="1">
      <alignment horizontal="left" vertical="center" wrapText="1"/>
    </xf>
    <xf numFmtId="0" fontId="5" fillId="0" borderId="49" xfId="0" applyFont="1" applyFill="1" applyBorder="1" applyAlignment="1">
      <alignment horizontal="left" vertical="center" wrapText="1"/>
    </xf>
    <xf numFmtId="0" fontId="5" fillId="0" borderId="19" xfId="0" applyFont="1" applyFill="1" applyBorder="1" applyAlignment="1">
      <alignment horizontal="left" vertical="center" wrapText="1"/>
    </xf>
    <xf numFmtId="167" fontId="59" fillId="35" borderId="20" xfId="0" applyNumberFormat="1" applyFont="1" applyFill="1" applyBorder="1" applyAlignment="1">
      <alignment horizontal="center" vertical="center" wrapText="1"/>
    </xf>
    <xf numFmtId="167" fontId="59" fillId="91" borderId="85" xfId="0" applyNumberFormat="1" applyFont="1" applyFill="1" applyBorder="1" applyAlignment="1">
      <alignment horizontal="center" vertical="center" wrapText="1"/>
    </xf>
    <xf numFmtId="0" fontId="52" fillId="0" borderId="49" xfId="0" applyFont="1" applyFill="1" applyBorder="1" applyAlignment="1">
      <alignment horizontal="left" vertical="center" wrapText="1"/>
    </xf>
    <xf numFmtId="167" fontId="52" fillId="44" borderId="1" xfId="0" applyNumberFormat="1" applyFont="1" applyFill="1" applyBorder="1" applyAlignment="1">
      <alignment horizontal="center" vertical="center" wrapText="1"/>
    </xf>
    <xf numFmtId="167" fontId="5" fillId="44" borderId="1" xfId="0" applyNumberFormat="1" applyFont="1" applyFill="1" applyBorder="1" applyAlignment="1">
      <alignment horizontal="center" vertical="center"/>
    </xf>
    <xf numFmtId="167" fontId="5" fillId="44" borderId="1" xfId="0" applyNumberFormat="1" applyFont="1" applyFill="1" applyBorder="1" applyAlignment="1">
      <alignment vertical="center"/>
    </xf>
    <xf numFmtId="167" fontId="52" fillId="44" borderId="62" xfId="0" applyNumberFormat="1" applyFont="1" applyFill="1" applyBorder="1" applyAlignment="1">
      <alignment horizontal="center" vertical="center" wrapText="1"/>
    </xf>
    <xf numFmtId="0" fontId="52" fillId="35" borderId="49" xfId="0" applyFont="1" applyFill="1" applyBorder="1" applyAlignment="1">
      <alignment horizontal="left" vertical="center" wrapText="1"/>
    </xf>
    <xf numFmtId="176" fontId="162" fillId="0" borderId="10" xfId="3269" applyNumberFormat="1" applyFont="1" applyFill="1" applyBorder="1" applyAlignment="1">
      <alignment horizontal="center"/>
    </xf>
    <xf numFmtId="176" fontId="162" fillId="0" borderId="17" xfId="3269" applyNumberFormat="1" applyFont="1" applyFill="1" applyBorder="1" applyAlignment="1">
      <alignment horizontal="center"/>
    </xf>
    <xf numFmtId="176" fontId="162" fillId="0" borderId="18" xfId="3269" applyNumberFormat="1" applyFont="1" applyFill="1" applyBorder="1" applyAlignment="1">
      <alignment horizontal="center"/>
    </xf>
    <xf numFmtId="0" fontId="153" fillId="0" borderId="10" xfId="3269" applyFont="1" applyFill="1" applyBorder="1" applyAlignment="1">
      <alignment horizontal="center"/>
    </xf>
    <xf numFmtId="0" fontId="153" fillId="0" borderId="17" xfId="3269" applyFont="1" applyFill="1" applyBorder="1" applyAlignment="1">
      <alignment horizontal="center"/>
    </xf>
    <xf numFmtId="0" fontId="153" fillId="0" borderId="18" xfId="3269" applyFont="1" applyFill="1" applyBorder="1" applyAlignment="1">
      <alignment horizontal="center"/>
    </xf>
    <xf numFmtId="0" fontId="182" fillId="2" borderId="50" xfId="0" applyFont="1" applyFill="1" applyBorder="1" applyAlignment="1">
      <alignment horizontal="center" vertical="center" wrapText="1"/>
    </xf>
    <xf numFmtId="0" fontId="182" fillId="2" borderId="55" xfId="0" applyFont="1" applyFill="1" applyBorder="1" applyAlignment="1">
      <alignment horizontal="center" vertical="center" wrapText="1"/>
    </xf>
    <xf numFmtId="0" fontId="182" fillId="2" borderId="51" xfId="0" applyFont="1" applyFill="1" applyBorder="1" applyAlignment="1">
      <alignment horizontal="center" vertical="center" wrapText="1"/>
    </xf>
    <xf numFmtId="0" fontId="180" fillId="2" borderId="50" xfId="0" applyFont="1" applyFill="1" applyBorder="1" applyAlignment="1">
      <alignment horizontal="center" vertical="center"/>
    </xf>
    <xf numFmtId="0" fontId="180" fillId="2" borderId="55" xfId="0" applyFont="1" applyFill="1" applyBorder="1" applyAlignment="1">
      <alignment horizontal="center" vertical="center"/>
    </xf>
    <xf numFmtId="0" fontId="180" fillId="2" borderId="51" xfId="0" applyFont="1" applyFill="1" applyBorder="1" applyAlignment="1">
      <alignment horizontal="center" vertical="center"/>
    </xf>
    <xf numFmtId="0" fontId="180" fillId="2" borderId="52" xfId="0" applyNumberFormat="1" applyFont="1" applyFill="1" applyBorder="1" applyAlignment="1">
      <alignment horizontal="center" vertical="center"/>
    </xf>
    <xf numFmtId="0" fontId="180" fillId="2" borderId="48" xfId="0" applyNumberFormat="1" applyFont="1" applyFill="1" applyBorder="1" applyAlignment="1">
      <alignment horizontal="center" vertical="center"/>
    </xf>
    <xf numFmtId="0" fontId="180" fillId="2" borderId="53" xfId="0" applyNumberFormat="1" applyFont="1" applyFill="1" applyBorder="1" applyAlignment="1">
      <alignment horizontal="center" vertical="center"/>
    </xf>
    <xf numFmtId="0" fontId="181" fillId="2" borderId="50" xfId="0" applyNumberFormat="1" applyFont="1" applyFill="1" applyBorder="1" applyAlignment="1">
      <alignment horizontal="center" vertical="center"/>
    </xf>
    <xf numFmtId="0" fontId="181" fillId="2" borderId="55" xfId="0" applyNumberFormat="1" applyFont="1" applyFill="1" applyBorder="1" applyAlignment="1">
      <alignment horizontal="center" vertical="center"/>
    </xf>
    <xf numFmtId="0" fontId="181" fillId="2" borderId="51" xfId="0" applyNumberFormat="1" applyFont="1" applyFill="1" applyBorder="1" applyAlignment="1">
      <alignment horizontal="center" vertical="center"/>
    </xf>
    <xf numFmtId="0" fontId="182" fillId="2" borderId="50" xfId="0" applyFont="1" applyFill="1" applyBorder="1" applyAlignment="1">
      <alignment horizontal="center" vertical="center"/>
    </xf>
    <xf numFmtId="0" fontId="182" fillId="2" borderId="55" xfId="0" applyFont="1" applyFill="1" applyBorder="1" applyAlignment="1">
      <alignment horizontal="center" vertical="center"/>
    </xf>
    <xf numFmtId="0" fontId="182" fillId="2" borderId="51" xfId="0" applyFont="1" applyFill="1" applyBorder="1" applyAlignment="1">
      <alignment horizontal="center" vertical="center"/>
    </xf>
    <xf numFmtId="0" fontId="68" fillId="36" borderId="60" xfId="0" applyFont="1" applyFill="1" applyBorder="1" applyAlignment="1">
      <alignment horizontal="center" vertical="center" textRotation="90" wrapText="1"/>
    </xf>
    <xf numFmtId="0" fontId="68" fillId="36" borderId="62" xfId="0" applyFont="1" applyFill="1" applyBorder="1" applyAlignment="1">
      <alignment horizontal="center" vertical="center" textRotation="90" wrapText="1"/>
    </xf>
    <xf numFmtId="0" fontId="68" fillId="36" borderId="27" xfId="0" applyFont="1" applyFill="1" applyBorder="1" applyAlignment="1">
      <alignment horizontal="left" vertical="center"/>
    </xf>
    <xf numFmtId="0" fontId="68" fillId="36" borderId="83" xfId="0" applyFont="1" applyFill="1" applyBorder="1" applyAlignment="1">
      <alignment horizontal="left" vertical="center"/>
    </xf>
    <xf numFmtId="0" fontId="68" fillId="36" borderId="13" xfId="0" applyFont="1" applyFill="1" applyBorder="1" applyAlignment="1">
      <alignment horizontal="left" vertical="center"/>
    </xf>
    <xf numFmtId="0" fontId="68" fillId="36" borderId="101" xfId="0" applyNumberFormat="1" applyFont="1" applyFill="1" applyBorder="1" applyAlignment="1">
      <alignment horizontal="center" vertical="center" wrapText="1"/>
    </xf>
    <xf numFmtId="0" fontId="68" fillId="36" borderId="29" xfId="0" applyNumberFormat="1" applyFont="1" applyFill="1" applyBorder="1" applyAlignment="1">
      <alignment horizontal="center" vertical="center" wrapText="1"/>
    </xf>
    <xf numFmtId="0" fontId="68" fillId="36" borderId="96" xfId="0" applyNumberFormat="1" applyFont="1" applyFill="1" applyBorder="1" applyAlignment="1">
      <alignment horizontal="center" vertical="center" wrapText="1"/>
    </xf>
    <xf numFmtId="0" fontId="68" fillId="36" borderId="60" xfId="0" applyNumberFormat="1" applyFont="1" applyFill="1" applyBorder="1" applyAlignment="1">
      <alignment horizontal="center" vertical="center" wrapText="1"/>
    </xf>
    <xf numFmtId="0" fontId="68" fillId="36" borderId="49" xfId="0" applyNumberFormat="1" applyFont="1" applyFill="1" applyBorder="1" applyAlignment="1">
      <alignment horizontal="center" vertical="center" wrapText="1"/>
    </xf>
    <xf numFmtId="0" fontId="68" fillId="36" borderId="1" xfId="0" applyNumberFormat="1" applyFont="1" applyFill="1" applyBorder="1" applyAlignment="1">
      <alignment horizontal="center" vertical="center" wrapText="1"/>
    </xf>
    <xf numFmtId="0" fontId="68" fillId="36" borderId="10" xfId="0" applyNumberFormat="1" applyFont="1" applyFill="1" applyBorder="1" applyAlignment="1">
      <alignment horizontal="center" vertical="center" wrapText="1"/>
    </xf>
    <xf numFmtId="0" fontId="68" fillId="36" borderId="62" xfId="0" applyNumberFormat="1" applyFont="1" applyFill="1" applyBorder="1" applyAlignment="1">
      <alignment horizontal="center" vertical="center" wrapText="1"/>
    </xf>
    <xf numFmtId="0" fontId="68" fillId="36" borderId="30" xfId="0" applyNumberFormat="1" applyFont="1" applyFill="1" applyBorder="1" applyAlignment="1">
      <alignment horizontal="center" vertical="center"/>
    </xf>
    <xf numFmtId="0" fontId="68" fillId="36" borderId="18" xfId="0" applyNumberFormat="1" applyFont="1" applyFill="1" applyBorder="1" applyAlignment="1">
      <alignment horizontal="center" vertical="center"/>
    </xf>
    <xf numFmtId="0" fontId="68" fillId="36" borderId="23" xfId="0" applyNumberFormat="1" applyFont="1" applyFill="1" applyBorder="1" applyAlignment="1">
      <alignment horizontal="center" vertical="center"/>
    </xf>
    <xf numFmtId="0" fontId="68" fillId="36" borderId="58" xfId="0" applyFont="1" applyFill="1" applyBorder="1" applyAlignment="1">
      <alignment horizontal="center" vertical="center" wrapText="1"/>
    </xf>
    <xf numFmtId="0" fontId="68" fillId="36" borderId="59" xfId="0" applyFont="1" applyFill="1" applyBorder="1" applyAlignment="1">
      <alignment horizontal="center" vertical="center" wrapText="1"/>
    </xf>
    <xf numFmtId="0" fontId="68" fillId="36" borderId="31" xfId="0" applyFont="1" applyFill="1" applyBorder="1" applyAlignment="1">
      <alignment horizontal="center" vertical="center" wrapText="1"/>
    </xf>
    <xf numFmtId="0" fontId="68" fillId="36" borderId="12" xfId="0" applyFont="1" applyFill="1" applyBorder="1" applyAlignment="1">
      <alignment horizontal="center" vertical="center" wrapText="1"/>
    </xf>
    <xf numFmtId="0" fontId="68" fillId="36" borderId="47" xfId="0" applyFont="1" applyFill="1" applyBorder="1" applyAlignment="1">
      <alignment horizontal="center" vertical="center" wrapText="1"/>
    </xf>
    <xf numFmtId="0" fontId="68" fillId="36" borderId="32" xfId="0" applyFont="1" applyFill="1" applyBorder="1" applyAlignment="1">
      <alignment horizontal="center" vertical="center" wrapText="1"/>
    </xf>
    <xf numFmtId="0" fontId="68" fillId="36" borderId="29" xfId="0" applyFont="1" applyFill="1" applyBorder="1" applyAlignment="1">
      <alignment horizontal="center" vertical="center" textRotation="90" wrapText="1"/>
    </xf>
    <xf numFmtId="0" fontId="68" fillId="36" borderId="1" xfId="0" applyFont="1" applyFill="1" applyBorder="1" applyAlignment="1">
      <alignment horizontal="center" vertical="center" textRotation="90" wrapText="1"/>
    </xf>
    <xf numFmtId="0" fontId="68" fillId="36" borderId="20" xfId="0" applyFont="1" applyFill="1" applyBorder="1" applyAlignment="1">
      <alignment horizontal="center" vertical="center" textRotation="90" wrapText="1"/>
    </xf>
    <xf numFmtId="0" fontId="5" fillId="2" borderId="50" xfId="0" applyFont="1" applyFill="1" applyBorder="1" applyAlignment="1">
      <alignment horizontal="center" vertical="center" wrapText="1"/>
    </xf>
    <xf numFmtId="0" fontId="5" fillId="2" borderId="55" xfId="0" applyFont="1" applyFill="1" applyBorder="1" applyAlignment="1">
      <alignment horizontal="center" vertical="center" wrapText="1"/>
    </xf>
    <xf numFmtId="0" fontId="5" fillId="2" borderId="51" xfId="0" applyFont="1" applyFill="1" applyBorder="1" applyAlignment="1">
      <alignment horizontal="center" vertical="center" wrapText="1"/>
    </xf>
    <xf numFmtId="0" fontId="7" fillId="2" borderId="27" xfId="0" applyFont="1" applyFill="1" applyBorder="1" applyAlignment="1">
      <alignment horizontal="center" vertical="center"/>
    </xf>
    <xf numFmtId="0" fontId="7" fillId="2" borderId="83"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52" xfId="0" applyNumberFormat="1" applyFont="1" applyFill="1" applyBorder="1" applyAlignment="1">
      <alignment horizontal="center" vertical="center"/>
    </xf>
    <xf numFmtId="0" fontId="7" fillId="2" borderId="48" xfId="0" applyNumberFormat="1" applyFont="1" applyFill="1" applyBorder="1" applyAlignment="1">
      <alignment horizontal="center" vertical="center"/>
    </xf>
    <xf numFmtId="0" fontId="7" fillId="2" borderId="53" xfId="0" applyNumberFormat="1" applyFont="1" applyFill="1" applyBorder="1" applyAlignment="1">
      <alignment horizontal="center" vertical="center"/>
    </xf>
    <xf numFmtId="0" fontId="54" fillId="2" borderId="82" xfId="0" applyNumberFormat="1" applyFont="1" applyFill="1" applyBorder="1" applyAlignment="1">
      <alignment horizontal="center" vertical="center"/>
    </xf>
    <xf numFmtId="0" fontId="54" fillId="2" borderId="84" xfId="0" applyNumberFormat="1" applyFont="1" applyFill="1" applyBorder="1" applyAlignment="1">
      <alignment horizontal="center" vertical="center"/>
    </xf>
    <xf numFmtId="0" fontId="54" fillId="2" borderId="97" xfId="0" applyNumberFormat="1" applyFont="1" applyFill="1" applyBorder="1" applyAlignment="1">
      <alignment horizontal="center" vertical="center"/>
    </xf>
    <xf numFmtId="0" fontId="5" fillId="2" borderId="50" xfId="0" applyFont="1" applyFill="1" applyBorder="1" applyAlignment="1">
      <alignment horizontal="center" vertical="center"/>
    </xf>
    <xf numFmtId="0" fontId="5" fillId="2" borderId="55" xfId="0" applyFont="1" applyFill="1" applyBorder="1" applyAlignment="1">
      <alignment horizontal="center" vertical="center"/>
    </xf>
    <xf numFmtId="0" fontId="5" fillId="2" borderId="51" xfId="0" applyFont="1" applyFill="1" applyBorder="1" applyAlignment="1">
      <alignment horizontal="center" vertical="center"/>
    </xf>
    <xf numFmtId="0" fontId="7" fillId="2" borderId="49" xfId="0" applyFont="1" applyFill="1" applyBorder="1" applyAlignment="1">
      <alignment horizontal="center" vertical="center"/>
    </xf>
    <xf numFmtId="0" fontId="7" fillId="2" borderId="1" xfId="0" applyNumberFormat="1" applyFont="1" applyFill="1" applyBorder="1" applyAlignment="1">
      <alignment horizontal="center" vertical="center"/>
    </xf>
    <xf numFmtId="0" fontId="7" fillId="2" borderId="62" xfId="0" applyNumberFormat="1" applyFont="1" applyFill="1" applyBorder="1" applyAlignment="1">
      <alignment horizontal="center" vertical="center"/>
    </xf>
    <xf numFmtId="3" fontId="125" fillId="0" borderId="28" xfId="3888" applyNumberFormat="1" applyFont="1" applyFill="1" applyBorder="1" applyAlignment="1">
      <alignment vertical="center"/>
    </xf>
    <xf numFmtId="0" fontId="0" fillId="0" borderId="3" xfId="0" applyBorder="1" applyAlignment="1">
      <alignment vertical="center"/>
    </xf>
    <xf numFmtId="3" fontId="125" fillId="0" borderId="28" xfId="3888" applyNumberFormat="1" applyFont="1" applyFill="1" applyBorder="1" applyAlignment="1">
      <alignment horizontal="right" vertical="center"/>
    </xf>
    <xf numFmtId="0" fontId="0" fillId="0" borderId="3" xfId="0" applyBorder="1" applyAlignment="1">
      <alignment horizontal="right" vertical="center"/>
    </xf>
    <xf numFmtId="171" fontId="46" fillId="0" borderId="2" xfId="0" applyNumberFormat="1" applyFont="1" applyFill="1" applyBorder="1" applyAlignment="1">
      <alignment horizontal="center" vertical="center" textRotation="90" wrapText="1"/>
    </xf>
    <xf numFmtId="0" fontId="0" fillId="0" borderId="47" xfId="0" applyBorder="1" applyAlignment="1">
      <alignment horizontal="center" vertical="center" wrapText="1"/>
    </xf>
    <xf numFmtId="0" fontId="46" fillId="0" borderId="2" xfId="0" applyFont="1" applyFill="1" applyBorder="1" applyAlignment="1">
      <alignment horizontal="center" vertical="center" textRotation="90" wrapText="1"/>
    </xf>
    <xf numFmtId="0" fontId="0" fillId="0" borderId="3" xfId="0" applyBorder="1" applyAlignment="1">
      <alignment horizontal="center" vertical="center" textRotation="90" wrapText="1"/>
    </xf>
    <xf numFmtId="0" fontId="46" fillId="0" borderId="2" xfId="0" applyFont="1" applyBorder="1" applyAlignment="1">
      <alignment horizontal="center" vertical="center" wrapText="1"/>
    </xf>
    <xf numFmtId="0" fontId="0" fillId="0" borderId="3" xfId="0" applyBorder="1" applyAlignment="1">
      <alignment horizontal="center" vertical="center" wrapText="1"/>
    </xf>
    <xf numFmtId="3" fontId="46" fillId="0" borderId="2" xfId="0" applyNumberFormat="1" applyFont="1" applyBorder="1" applyAlignment="1">
      <alignment horizontal="center" vertical="center" wrapText="1"/>
    </xf>
    <xf numFmtId="3" fontId="46" fillId="0" borderId="2" xfId="0" applyNumberFormat="1" applyFont="1" applyBorder="1" applyAlignment="1">
      <alignment horizontal="center" vertical="center" textRotation="90" wrapText="1"/>
    </xf>
    <xf numFmtId="0" fontId="4" fillId="0" borderId="2" xfId="0" applyFont="1" applyBorder="1" applyAlignment="1">
      <alignment horizontal="center" vertical="center" textRotation="90" wrapText="1"/>
    </xf>
    <xf numFmtId="171" fontId="137" fillId="42" borderId="2" xfId="0" applyNumberFormat="1" applyFont="1" applyFill="1" applyBorder="1" applyAlignment="1">
      <alignment horizontal="center" vertical="center" textRotation="90" wrapText="1"/>
    </xf>
    <xf numFmtId="0" fontId="138" fillId="0" borderId="3" xfId="0" applyFont="1" applyBorder="1" applyAlignment="1">
      <alignment horizontal="center" vertical="center" textRotation="90" wrapText="1"/>
    </xf>
    <xf numFmtId="0" fontId="142" fillId="0" borderId="0" xfId="0" applyFont="1" applyFill="1" applyBorder="1" applyAlignment="1">
      <alignment horizontal="center"/>
    </xf>
    <xf numFmtId="0" fontId="144" fillId="0" borderId="17" xfId="0" applyFont="1" applyFill="1" applyBorder="1" applyAlignment="1">
      <alignment horizontal="right"/>
    </xf>
    <xf numFmtId="0" fontId="143" fillId="0" borderId="1" xfId="0" applyFont="1" applyFill="1" applyBorder="1" applyAlignment="1">
      <alignment horizontal="right"/>
    </xf>
    <xf numFmtId="0" fontId="29" fillId="0" borderId="0" xfId="0" applyFont="1" applyAlignment="1">
      <alignment horizontal="center" wrapText="1"/>
    </xf>
    <xf numFmtId="0" fontId="29" fillId="0" borderId="17" xfId="0" applyFont="1" applyBorder="1" applyAlignment="1">
      <alignment horizontal="right"/>
    </xf>
    <xf numFmtId="0" fontId="8" fillId="2" borderId="50" xfId="0" applyFont="1" applyFill="1" applyBorder="1" applyAlignment="1">
      <alignment horizontal="center" vertical="center" wrapText="1"/>
    </xf>
    <xf numFmtId="0" fontId="8" fillId="2" borderId="51" xfId="0" applyFont="1" applyFill="1" applyBorder="1" applyAlignment="1">
      <alignment horizontal="center" vertical="center" wrapText="1"/>
    </xf>
    <xf numFmtId="0" fontId="44" fillId="0" borderId="15" xfId="0" applyFont="1" applyBorder="1" applyAlignment="1">
      <alignment horizontal="center"/>
    </xf>
    <xf numFmtId="0" fontId="60" fillId="36" borderId="2" xfId="0" applyFont="1" applyFill="1" applyBorder="1" applyAlignment="1">
      <alignment horizontal="left" vertical="center"/>
    </xf>
    <xf numFmtId="0" fontId="60" fillId="36" borderId="3" xfId="0" applyFont="1" applyFill="1" applyBorder="1" applyAlignment="1">
      <alignment horizontal="left" vertical="center"/>
    </xf>
    <xf numFmtId="0" fontId="115" fillId="36" borderId="10" xfId="0" applyFont="1" applyFill="1" applyBorder="1" applyAlignment="1">
      <alignment horizontal="center" vertical="center" wrapText="1"/>
    </xf>
    <xf numFmtId="0" fontId="115" fillId="36" borderId="18" xfId="0" applyFont="1" applyFill="1" applyBorder="1" applyAlignment="1">
      <alignment horizontal="center" vertical="center" wrapText="1"/>
    </xf>
    <xf numFmtId="0" fontId="60" fillId="36" borderId="2" xfId="0" applyFont="1" applyFill="1" applyBorder="1" applyAlignment="1">
      <alignment horizontal="center" vertical="center" textRotation="90" wrapText="1"/>
    </xf>
    <xf numFmtId="0" fontId="60" fillId="36" borderId="3" xfId="0" applyFont="1" applyFill="1" applyBorder="1" applyAlignment="1">
      <alignment horizontal="center" vertical="center" textRotation="90" wrapText="1"/>
    </xf>
    <xf numFmtId="0" fontId="6" fillId="2" borderId="50" xfId="0" applyFont="1" applyFill="1" applyBorder="1" applyAlignment="1">
      <alignment horizontal="left" vertical="center"/>
    </xf>
    <xf numFmtId="0" fontId="6" fillId="2" borderId="51" xfId="0" applyFont="1" applyFill="1" applyBorder="1" applyAlignment="1">
      <alignment horizontal="left" vertical="center"/>
    </xf>
    <xf numFmtId="0" fontId="9" fillId="2" borderId="52" xfId="0" applyNumberFormat="1" applyFont="1" applyFill="1" applyBorder="1" applyAlignment="1">
      <alignment horizontal="center" vertical="center" wrapText="1"/>
    </xf>
    <xf numFmtId="0" fontId="9" fillId="2" borderId="48" xfId="0" applyNumberFormat="1" applyFont="1" applyFill="1" applyBorder="1" applyAlignment="1">
      <alignment horizontal="center" vertical="center" wrapText="1"/>
    </xf>
    <xf numFmtId="0" fontId="60" fillId="36" borderId="10" xfId="0" applyNumberFormat="1" applyFont="1" applyFill="1" applyBorder="1" applyAlignment="1">
      <alignment horizontal="center" vertical="center" wrapText="1"/>
    </xf>
    <xf numFmtId="0" fontId="60" fillId="36" borderId="17" xfId="0" applyNumberFormat="1" applyFont="1" applyFill="1" applyBorder="1" applyAlignment="1">
      <alignment horizontal="center" vertical="center" wrapText="1"/>
    </xf>
    <xf numFmtId="0" fontId="60" fillId="36" borderId="18" xfId="0" applyNumberFormat="1" applyFont="1" applyFill="1" applyBorder="1" applyAlignment="1">
      <alignment horizontal="center" vertical="center" wrapText="1"/>
    </xf>
    <xf numFmtId="0" fontId="68" fillId="36" borderId="60" xfId="0" applyFont="1" applyFill="1" applyBorder="1" applyAlignment="1">
      <alignment horizontal="center" vertical="center" wrapText="1"/>
    </xf>
    <xf numFmtId="0" fontId="68" fillId="36" borderId="62" xfId="0" applyFont="1" applyFill="1" applyBorder="1" applyAlignment="1">
      <alignment horizontal="center" vertical="center" wrapText="1"/>
    </xf>
    <xf numFmtId="0" fontId="5" fillId="0" borderId="75" xfId="0" applyFont="1" applyBorder="1" applyAlignment="1"/>
    <xf numFmtId="0" fontId="0" fillId="0" borderId="75" xfId="0" applyBorder="1" applyAlignment="1"/>
    <xf numFmtId="0" fontId="68" fillId="36" borderId="57" xfId="0" applyFont="1" applyFill="1" applyBorder="1" applyAlignment="1">
      <alignment horizontal="left" vertical="center"/>
    </xf>
    <xf numFmtId="0" fontId="68" fillId="36" borderId="61" xfId="0" applyFont="1" applyFill="1" applyBorder="1" applyAlignment="1">
      <alignment horizontal="left" vertical="center"/>
    </xf>
    <xf numFmtId="0" fontId="68" fillId="36" borderId="63" xfId="0" applyFont="1" applyFill="1" applyBorder="1" applyAlignment="1">
      <alignment horizontal="left" vertical="center"/>
    </xf>
    <xf numFmtId="0" fontId="68" fillId="36" borderId="29" xfId="0" applyNumberFormat="1" applyFont="1" applyFill="1" applyBorder="1" applyAlignment="1">
      <alignment horizontal="center" vertical="center"/>
    </xf>
    <xf numFmtId="0" fontId="68" fillId="36" borderId="1" xfId="0" applyNumberFormat="1" applyFont="1" applyFill="1" applyBorder="1" applyAlignment="1">
      <alignment horizontal="center" vertical="center"/>
    </xf>
    <xf numFmtId="0" fontId="68" fillId="36" borderId="20" xfId="0" applyNumberFormat="1" applyFont="1" applyFill="1" applyBorder="1" applyAlignment="1">
      <alignment horizontal="center" vertical="center"/>
    </xf>
    <xf numFmtId="167" fontId="114" fillId="36" borderId="58" xfId="0" applyNumberFormat="1" applyFont="1" applyFill="1" applyBorder="1" applyAlignment="1">
      <alignment horizontal="center" vertical="center" wrapText="1"/>
    </xf>
    <xf numFmtId="167" fontId="114" fillId="36" borderId="59" xfId="0" applyNumberFormat="1" applyFont="1" applyFill="1" applyBorder="1" applyAlignment="1">
      <alignment horizontal="center" vertical="center" wrapText="1"/>
    </xf>
    <xf numFmtId="167" fontId="114" fillId="36" borderId="31" xfId="0" applyNumberFormat="1" applyFont="1" applyFill="1" applyBorder="1" applyAlignment="1">
      <alignment horizontal="center" vertical="center" wrapText="1"/>
    </xf>
    <xf numFmtId="167" fontId="114" fillId="36" borderId="12" xfId="0" applyNumberFormat="1" applyFont="1" applyFill="1" applyBorder="1" applyAlignment="1">
      <alignment horizontal="center" vertical="center" wrapText="1"/>
    </xf>
    <xf numFmtId="167" fontId="114" fillId="36" borderId="47" xfId="0" applyNumberFormat="1" applyFont="1" applyFill="1" applyBorder="1" applyAlignment="1">
      <alignment horizontal="center" vertical="center" wrapText="1"/>
    </xf>
    <xf numFmtId="167" fontId="114" fillId="36" borderId="32" xfId="0" applyNumberFormat="1" applyFont="1" applyFill="1" applyBorder="1" applyAlignment="1">
      <alignment horizontal="center" vertical="center" wrapText="1"/>
    </xf>
    <xf numFmtId="0" fontId="7" fillId="2" borderId="50" xfId="0" applyFont="1" applyFill="1" applyBorder="1" applyAlignment="1">
      <alignment horizontal="center" vertical="center"/>
    </xf>
    <xf numFmtId="0" fontId="7" fillId="2" borderId="55" xfId="0" applyFont="1" applyFill="1" applyBorder="1" applyAlignment="1">
      <alignment horizontal="center" vertical="center"/>
    </xf>
    <xf numFmtId="0" fontId="7" fillId="2" borderId="51" xfId="0" applyFont="1" applyFill="1" applyBorder="1" applyAlignment="1">
      <alignment horizontal="center" vertical="center"/>
    </xf>
    <xf numFmtId="0" fontId="54" fillId="2" borderId="50" xfId="0" applyNumberFormat="1" applyFont="1" applyFill="1" applyBorder="1" applyAlignment="1">
      <alignment horizontal="center" vertical="center"/>
    </xf>
    <xf numFmtId="0" fontId="54" fillId="2" borderId="55" xfId="0" applyNumberFormat="1" applyFont="1" applyFill="1" applyBorder="1" applyAlignment="1">
      <alignment horizontal="center" vertical="center"/>
    </xf>
    <xf numFmtId="0" fontId="54" fillId="2" borderId="51" xfId="0" applyNumberFormat="1" applyFont="1" applyFill="1" applyBorder="1" applyAlignment="1">
      <alignment horizontal="center" vertical="center"/>
    </xf>
    <xf numFmtId="0" fontId="44" fillId="0" borderId="0" xfId="0" applyFont="1" applyAlignment="1">
      <alignment horizontal="center"/>
    </xf>
    <xf numFmtId="0" fontId="6" fillId="2" borderId="33" xfId="0" applyFont="1" applyFill="1" applyBorder="1" applyAlignment="1">
      <alignment horizontal="left" vertical="center"/>
    </xf>
    <xf numFmtId="0" fontId="6" fillId="2" borderId="34" xfId="0" applyFont="1" applyFill="1" applyBorder="1" applyAlignment="1">
      <alignment horizontal="left" vertical="center"/>
    </xf>
    <xf numFmtId="0" fontId="9" fillId="2" borderId="27" xfId="0" applyNumberFormat="1" applyFont="1" applyFill="1" applyBorder="1" applyAlignment="1">
      <alignment horizontal="center" vertical="center" wrapText="1"/>
    </xf>
    <xf numFmtId="0" fontId="9" fillId="2" borderId="35" xfId="0" applyNumberFormat="1" applyFont="1" applyFill="1" applyBorder="1" applyAlignment="1">
      <alignment horizontal="center" vertical="center" wrapText="1"/>
    </xf>
    <xf numFmtId="0" fontId="8" fillId="2" borderId="33"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7" fillId="2" borderId="52" xfId="0" applyNumberFormat="1" applyFont="1" applyFill="1" applyBorder="1" applyAlignment="1">
      <alignment horizontal="center" vertical="center" wrapText="1"/>
    </xf>
    <xf numFmtId="0" fontId="7" fillId="2" borderId="48" xfId="0" applyNumberFormat="1" applyFont="1" applyFill="1" applyBorder="1" applyAlignment="1">
      <alignment horizontal="center" vertical="center" wrapText="1"/>
    </xf>
    <xf numFmtId="0" fontId="7" fillId="2" borderId="53" xfId="0" applyNumberFormat="1" applyFont="1" applyFill="1" applyBorder="1" applyAlignment="1">
      <alignment horizontal="center" vertical="center" wrapText="1"/>
    </xf>
    <xf numFmtId="0" fontId="41" fillId="2" borderId="50" xfId="0" applyNumberFormat="1" applyFont="1" applyFill="1" applyBorder="1" applyAlignment="1">
      <alignment horizontal="center" vertical="center"/>
    </xf>
    <xf numFmtId="0" fontId="41" fillId="2" borderId="51" xfId="0" applyNumberFormat="1" applyFont="1" applyFill="1" applyBorder="1" applyAlignment="1">
      <alignment horizontal="center" vertical="center"/>
    </xf>
    <xf numFmtId="0" fontId="8" fillId="2" borderId="50" xfId="0" applyFont="1" applyFill="1" applyBorder="1" applyAlignment="1">
      <alignment horizontal="center" vertical="center"/>
    </xf>
    <xf numFmtId="0" fontId="8" fillId="2" borderId="51" xfId="0" applyFont="1" applyFill="1" applyBorder="1" applyAlignment="1">
      <alignment horizontal="center" vertical="center"/>
    </xf>
    <xf numFmtId="0" fontId="60" fillId="36" borderId="1" xfId="0" applyFont="1" applyFill="1" applyBorder="1" applyAlignment="1">
      <alignment horizontal="center" vertical="center"/>
    </xf>
    <xf numFmtId="0" fontId="60" fillId="36" borderId="2" xfId="0" applyFont="1" applyFill="1" applyBorder="1" applyAlignment="1">
      <alignment horizontal="center" vertical="center"/>
    </xf>
    <xf numFmtId="0" fontId="60" fillId="36" borderId="10" xfId="0" applyFont="1" applyFill="1" applyBorder="1" applyAlignment="1">
      <alignment horizontal="center" vertical="center" wrapText="1"/>
    </xf>
    <xf numFmtId="0" fontId="60" fillId="36" borderId="18" xfId="0" applyFont="1" applyFill="1" applyBorder="1" applyAlignment="1">
      <alignment horizontal="center" vertical="center"/>
    </xf>
    <xf numFmtId="0" fontId="60" fillId="36" borderId="4" xfId="0" applyFont="1" applyFill="1" applyBorder="1" applyAlignment="1">
      <alignment horizontal="center" vertical="center" textRotation="90" wrapText="1"/>
    </xf>
    <xf numFmtId="0" fontId="60" fillId="36" borderId="1" xfId="0" applyNumberFormat="1" applyFont="1" applyFill="1" applyBorder="1" applyAlignment="1">
      <alignment horizontal="center" vertical="center" wrapText="1"/>
    </xf>
    <xf numFmtId="0" fontId="29" fillId="0" borderId="10" xfId="0" applyFont="1" applyBorder="1" applyAlignment="1">
      <alignment horizontal="center"/>
    </xf>
    <xf numFmtId="0" fontId="29" fillId="0" borderId="17" xfId="0" applyFont="1" applyBorder="1" applyAlignment="1">
      <alignment horizontal="center"/>
    </xf>
    <xf numFmtId="0" fontId="29" fillId="0" borderId="18" xfId="0" applyFont="1" applyBorder="1" applyAlignment="1">
      <alignment horizontal="center"/>
    </xf>
    <xf numFmtId="0" fontId="0" fillId="0" borderId="0" xfId="0" applyFont="1" applyFill="1" applyBorder="1" applyAlignment="1">
      <alignment horizontal="left" vertical="top" wrapText="1"/>
    </xf>
    <xf numFmtId="0" fontId="0" fillId="0" borderId="31" xfId="0" applyBorder="1" applyAlignment="1">
      <alignment horizontal="center" vertical="center" wrapText="1"/>
    </xf>
    <xf numFmtId="0" fontId="0" fillId="0" borderId="0" xfId="0" applyBorder="1" applyAlignment="1">
      <alignment horizontal="center" vertical="center" wrapText="1"/>
    </xf>
    <xf numFmtId="0" fontId="0" fillId="0" borderId="12" xfId="0" applyBorder="1" applyAlignment="1">
      <alignment horizontal="center" vertical="center" wrapText="1"/>
    </xf>
    <xf numFmtId="0" fontId="0" fillId="0" borderId="15" xfId="0" applyBorder="1" applyAlignment="1">
      <alignment horizontal="center" vertical="center" wrapText="1"/>
    </xf>
    <xf numFmtId="0" fontId="0" fillId="0" borderId="32" xfId="0" applyBorder="1" applyAlignment="1">
      <alignment horizontal="center" vertical="center" wrapText="1"/>
    </xf>
    <xf numFmtId="0" fontId="0" fillId="0" borderId="5" xfId="0" applyFont="1" applyBorder="1" applyAlignment="1">
      <alignment horizontal="right"/>
    </xf>
    <xf numFmtId="0" fontId="0" fillId="0" borderId="5" xfId="0" applyBorder="1" applyAlignment="1"/>
    <xf numFmtId="0" fontId="14" fillId="36" borderId="10" xfId="0" applyFont="1" applyFill="1" applyBorder="1" applyAlignment="1">
      <alignment horizontal="left"/>
    </xf>
    <xf numFmtId="0" fontId="14" fillId="36" borderId="17" xfId="0" applyFont="1" applyFill="1" applyBorder="1" applyAlignment="1">
      <alignment horizontal="left"/>
    </xf>
    <xf numFmtId="0" fontId="14" fillId="36" borderId="18" xfId="0" applyFont="1" applyFill="1" applyBorder="1" applyAlignment="1">
      <alignment horizontal="left"/>
    </xf>
    <xf numFmtId="0" fontId="29" fillId="0" borderId="15" xfId="0" applyFont="1" applyBorder="1" applyAlignment="1">
      <alignment horizontal="center"/>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0" fillId="0" borderId="1" xfId="0" applyBorder="1" applyAlignment="1">
      <alignment horizontal="center" wrapText="1"/>
    </xf>
    <xf numFmtId="0" fontId="73" fillId="45" borderId="17" xfId="0" applyFont="1" applyFill="1" applyBorder="1" applyAlignment="1">
      <alignment horizontal="right" vertical="center" wrapText="1"/>
    </xf>
    <xf numFmtId="0" fontId="73" fillId="45" borderId="18" xfId="0" applyFont="1" applyFill="1" applyBorder="1" applyAlignment="1">
      <alignment horizontal="right" vertical="center" wrapText="1"/>
    </xf>
  </cellXfs>
  <cellStyles count="3924">
    <cellStyle name="20% - Accent1 10" xfId="165" xr:uid="{00000000-0005-0000-0000-000001000000}"/>
    <cellStyle name="20% - Accent1 10 2" xfId="166" xr:uid="{00000000-0005-0000-0000-000002000000}"/>
    <cellStyle name="20% - Accent1 10 2 2" xfId="167" xr:uid="{00000000-0005-0000-0000-000003000000}"/>
    <cellStyle name="20% - Accent1 10 3" xfId="168" xr:uid="{00000000-0005-0000-0000-000004000000}"/>
    <cellStyle name="20% - Accent1 10_Sheet1" xfId="169" xr:uid="{00000000-0005-0000-0000-000005000000}"/>
    <cellStyle name="20% - Accent1 11" xfId="170" xr:uid="{00000000-0005-0000-0000-000006000000}"/>
    <cellStyle name="20% - Accent1 11 2" xfId="171" xr:uid="{00000000-0005-0000-0000-000007000000}"/>
    <cellStyle name="20% - Accent1 11 2 2" xfId="172" xr:uid="{00000000-0005-0000-0000-000008000000}"/>
    <cellStyle name="20% - Accent1 11 3" xfId="173" xr:uid="{00000000-0005-0000-0000-000009000000}"/>
    <cellStyle name="20% - Accent1 11_Sheet1" xfId="174" xr:uid="{00000000-0005-0000-0000-00000A000000}"/>
    <cellStyle name="20% - Accent1 12" xfId="175" xr:uid="{00000000-0005-0000-0000-00000B000000}"/>
    <cellStyle name="20% - Accent1 12 2" xfId="176" xr:uid="{00000000-0005-0000-0000-00000C000000}"/>
    <cellStyle name="20% - Accent1 12 2 2" xfId="177" xr:uid="{00000000-0005-0000-0000-00000D000000}"/>
    <cellStyle name="20% - Accent1 12 3" xfId="178" xr:uid="{00000000-0005-0000-0000-00000E000000}"/>
    <cellStyle name="20% - Accent1 12_Sheet1" xfId="179" xr:uid="{00000000-0005-0000-0000-00000F000000}"/>
    <cellStyle name="20% - Accent1 13" xfId="180" xr:uid="{00000000-0005-0000-0000-000010000000}"/>
    <cellStyle name="20% - Accent1 13 2" xfId="181" xr:uid="{00000000-0005-0000-0000-000011000000}"/>
    <cellStyle name="20% - Accent1 13 2 2" xfId="182" xr:uid="{00000000-0005-0000-0000-000012000000}"/>
    <cellStyle name="20% - Accent1 13 3" xfId="183" xr:uid="{00000000-0005-0000-0000-000013000000}"/>
    <cellStyle name="20% - Accent1 13_Sheet1" xfId="184" xr:uid="{00000000-0005-0000-0000-000014000000}"/>
    <cellStyle name="20% - Accent1 14" xfId="185" xr:uid="{00000000-0005-0000-0000-000015000000}"/>
    <cellStyle name="20% - Accent1 14 2" xfId="186" xr:uid="{00000000-0005-0000-0000-000016000000}"/>
    <cellStyle name="20% - Accent1 14 2 2" xfId="187" xr:uid="{00000000-0005-0000-0000-000017000000}"/>
    <cellStyle name="20% - Accent1 14 3" xfId="188" xr:uid="{00000000-0005-0000-0000-000018000000}"/>
    <cellStyle name="20% - Accent1 14_Sheet1" xfId="189" xr:uid="{00000000-0005-0000-0000-000019000000}"/>
    <cellStyle name="20% - Accent1 15" xfId="190" xr:uid="{00000000-0005-0000-0000-00001A000000}"/>
    <cellStyle name="20% - Accent1 15 2" xfId="191" xr:uid="{00000000-0005-0000-0000-00001B000000}"/>
    <cellStyle name="20% - Accent1 15 2 2" xfId="192" xr:uid="{00000000-0005-0000-0000-00001C000000}"/>
    <cellStyle name="20% - Accent1 15 3" xfId="193" xr:uid="{00000000-0005-0000-0000-00001D000000}"/>
    <cellStyle name="20% - Accent1 15_Sheet1" xfId="194" xr:uid="{00000000-0005-0000-0000-00001E000000}"/>
    <cellStyle name="20% - Accent1 16" xfId="195" xr:uid="{00000000-0005-0000-0000-00001F000000}"/>
    <cellStyle name="20% - Accent1 16 2" xfId="196" xr:uid="{00000000-0005-0000-0000-000020000000}"/>
    <cellStyle name="20% - Accent1 16 2 2" xfId="197" xr:uid="{00000000-0005-0000-0000-000021000000}"/>
    <cellStyle name="20% - Accent1 16 3" xfId="198" xr:uid="{00000000-0005-0000-0000-000022000000}"/>
    <cellStyle name="20% - Accent1 16_Sheet1" xfId="199" xr:uid="{00000000-0005-0000-0000-000023000000}"/>
    <cellStyle name="20% - Accent1 17" xfId="200" xr:uid="{00000000-0005-0000-0000-000024000000}"/>
    <cellStyle name="20% - Accent1 17 2" xfId="201" xr:uid="{00000000-0005-0000-0000-000025000000}"/>
    <cellStyle name="20% - Accent1 17 2 2" xfId="202" xr:uid="{00000000-0005-0000-0000-000026000000}"/>
    <cellStyle name="20% - Accent1 17 3" xfId="203" xr:uid="{00000000-0005-0000-0000-000027000000}"/>
    <cellStyle name="20% - Accent1 17_Sheet1" xfId="204" xr:uid="{00000000-0005-0000-0000-000028000000}"/>
    <cellStyle name="20% - Accent1 18" xfId="205" xr:uid="{00000000-0005-0000-0000-000029000000}"/>
    <cellStyle name="20% - Accent1 18 2" xfId="206" xr:uid="{00000000-0005-0000-0000-00002A000000}"/>
    <cellStyle name="20% - Accent1 18 2 2" xfId="207" xr:uid="{00000000-0005-0000-0000-00002B000000}"/>
    <cellStyle name="20% - Accent1 18 3" xfId="208" xr:uid="{00000000-0005-0000-0000-00002C000000}"/>
    <cellStyle name="20% - Accent1 18_Sheet1" xfId="209" xr:uid="{00000000-0005-0000-0000-00002D000000}"/>
    <cellStyle name="20% - Accent1 19" xfId="210" xr:uid="{00000000-0005-0000-0000-00002E000000}"/>
    <cellStyle name="20% - Accent1 2" xfId="211" xr:uid="{00000000-0005-0000-0000-00002F000000}"/>
    <cellStyle name="20% - Accent1 2 2" xfId="212" xr:uid="{00000000-0005-0000-0000-000030000000}"/>
    <cellStyle name="20% - Accent1 2 2 2" xfId="213" xr:uid="{00000000-0005-0000-0000-000031000000}"/>
    <cellStyle name="20% - Accent1 2 3" xfId="214" xr:uid="{00000000-0005-0000-0000-000032000000}"/>
    <cellStyle name="20% - Accent1 2 3 2" xfId="215" xr:uid="{00000000-0005-0000-0000-000033000000}"/>
    <cellStyle name="20% - Accent1 2 4" xfId="216" xr:uid="{00000000-0005-0000-0000-000034000000}"/>
    <cellStyle name="20% - Accent1 2_Sheet1" xfId="217" xr:uid="{00000000-0005-0000-0000-000035000000}"/>
    <cellStyle name="20% - Accent1 20" xfId="218" xr:uid="{00000000-0005-0000-0000-000036000000}"/>
    <cellStyle name="20% - Accent1 21" xfId="219" xr:uid="{00000000-0005-0000-0000-000037000000}"/>
    <cellStyle name="20% - Accent1 22" xfId="220" xr:uid="{00000000-0005-0000-0000-000038000000}"/>
    <cellStyle name="20% - Accent1 23" xfId="221" xr:uid="{00000000-0005-0000-0000-000039000000}"/>
    <cellStyle name="20% - Accent1 24" xfId="222" xr:uid="{00000000-0005-0000-0000-00003A000000}"/>
    <cellStyle name="20% - Accent1 25" xfId="223" xr:uid="{00000000-0005-0000-0000-00003B000000}"/>
    <cellStyle name="20% - Accent1 26" xfId="224" xr:uid="{00000000-0005-0000-0000-00003C000000}"/>
    <cellStyle name="20% - Accent1 27" xfId="225" xr:uid="{00000000-0005-0000-0000-00003D000000}"/>
    <cellStyle name="20% - Accent1 28" xfId="226" xr:uid="{00000000-0005-0000-0000-00003E000000}"/>
    <cellStyle name="20% - Accent1 29" xfId="227" xr:uid="{00000000-0005-0000-0000-00003F000000}"/>
    <cellStyle name="20% - Accent1 3" xfId="228" xr:uid="{00000000-0005-0000-0000-000040000000}"/>
    <cellStyle name="20% - Accent1 3 2" xfId="229" xr:uid="{00000000-0005-0000-0000-000041000000}"/>
    <cellStyle name="20% - Accent1 3 2 2" xfId="230" xr:uid="{00000000-0005-0000-0000-000042000000}"/>
    <cellStyle name="20% - Accent1 3 3" xfId="231" xr:uid="{00000000-0005-0000-0000-000043000000}"/>
    <cellStyle name="20% - Accent1 3_Sheet1" xfId="232" xr:uid="{00000000-0005-0000-0000-000044000000}"/>
    <cellStyle name="20% - Accent1 30" xfId="233" xr:uid="{00000000-0005-0000-0000-000045000000}"/>
    <cellStyle name="20% - Accent1 31" xfId="234" xr:uid="{00000000-0005-0000-0000-000046000000}"/>
    <cellStyle name="20% - Accent1 32" xfId="235" xr:uid="{00000000-0005-0000-0000-000047000000}"/>
    <cellStyle name="20% - Accent1 33" xfId="236" xr:uid="{00000000-0005-0000-0000-000048000000}"/>
    <cellStyle name="20% - Accent1 34" xfId="237" xr:uid="{00000000-0005-0000-0000-000049000000}"/>
    <cellStyle name="20% - Accent1 35" xfId="238" xr:uid="{00000000-0005-0000-0000-00004A000000}"/>
    <cellStyle name="20% - Accent1 36" xfId="239" xr:uid="{00000000-0005-0000-0000-00004B000000}"/>
    <cellStyle name="20% - Accent1 37" xfId="240" xr:uid="{00000000-0005-0000-0000-00004C000000}"/>
    <cellStyle name="20% - Accent1 38" xfId="241" xr:uid="{00000000-0005-0000-0000-00004D000000}"/>
    <cellStyle name="20% - Accent1 39" xfId="242" xr:uid="{00000000-0005-0000-0000-00004E000000}"/>
    <cellStyle name="20% - Accent1 4" xfId="243" xr:uid="{00000000-0005-0000-0000-00004F000000}"/>
    <cellStyle name="20% - Accent1 4 2" xfId="244" xr:uid="{00000000-0005-0000-0000-000050000000}"/>
    <cellStyle name="20% - Accent1 4 2 2" xfId="245" xr:uid="{00000000-0005-0000-0000-000051000000}"/>
    <cellStyle name="20% - Accent1 4 3" xfId="246" xr:uid="{00000000-0005-0000-0000-000052000000}"/>
    <cellStyle name="20% - Accent1 4_Sheet1" xfId="247" xr:uid="{00000000-0005-0000-0000-000053000000}"/>
    <cellStyle name="20% - Accent1 40" xfId="248" xr:uid="{00000000-0005-0000-0000-000054000000}"/>
    <cellStyle name="20% - Accent1 41" xfId="249" xr:uid="{00000000-0005-0000-0000-000055000000}"/>
    <cellStyle name="20% - Accent1 42" xfId="250" xr:uid="{00000000-0005-0000-0000-000056000000}"/>
    <cellStyle name="20% - Accent1 43" xfId="251" xr:uid="{00000000-0005-0000-0000-000057000000}"/>
    <cellStyle name="20% - Accent1 44" xfId="252" xr:uid="{00000000-0005-0000-0000-000058000000}"/>
    <cellStyle name="20% - Accent1 45" xfId="253" xr:uid="{00000000-0005-0000-0000-000059000000}"/>
    <cellStyle name="20% - Accent1 46" xfId="254" xr:uid="{00000000-0005-0000-0000-00005A000000}"/>
    <cellStyle name="20% - Accent1 47" xfId="255" xr:uid="{00000000-0005-0000-0000-00005B000000}"/>
    <cellStyle name="20% - Accent1 48" xfId="256" xr:uid="{00000000-0005-0000-0000-00005C000000}"/>
    <cellStyle name="20% - Accent1 49" xfId="257" xr:uid="{00000000-0005-0000-0000-00005D000000}"/>
    <cellStyle name="20% - Accent1 5" xfId="258" xr:uid="{00000000-0005-0000-0000-00005E000000}"/>
    <cellStyle name="20% - Accent1 5 2" xfId="259" xr:uid="{00000000-0005-0000-0000-00005F000000}"/>
    <cellStyle name="20% - Accent1 5 2 2" xfId="260" xr:uid="{00000000-0005-0000-0000-000060000000}"/>
    <cellStyle name="20% - Accent1 5 3" xfId="261" xr:uid="{00000000-0005-0000-0000-000061000000}"/>
    <cellStyle name="20% - Accent1 5_Sheet1" xfId="262" xr:uid="{00000000-0005-0000-0000-000062000000}"/>
    <cellStyle name="20% - Accent1 50" xfId="263" xr:uid="{00000000-0005-0000-0000-000063000000}"/>
    <cellStyle name="20% - Accent1 51" xfId="264" xr:uid="{00000000-0005-0000-0000-000064000000}"/>
    <cellStyle name="20% - Accent1 52" xfId="265" xr:uid="{00000000-0005-0000-0000-000065000000}"/>
    <cellStyle name="20% - Accent1 53" xfId="266" xr:uid="{00000000-0005-0000-0000-000066000000}"/>
    <cellStyle name="20% - Accent1 54" xfId="267" xr:uid="{00000000-0005-0000-0000-000067000000}"/>
    <cellStyle name="20% - Accent1 55" xfId="268" xr:uid="{00000000-0005-0000-0000-000068000000}"/>
    <cellStyle name="20% - Accent1 56" xfId="269" xr:uid="{00000000-0005-0000-0000-000069000000}"/>
    <cellStyle name="20% - Accent1 57" xfId="270" xr:uid="{00000000-0005-0000-0000-00006A000000}"/>
    <cellStyle name="20% - Accent1 58" xfId="271" xr:uid="{00000000-0005-0000-0000-00006B000000}"/>
    <cellStyle name="20% - Accent1 59" xfId="272" xr:uid="{00000000-0005-0000-0000-00006C000000}"/>
    <cellStyle name="20% - Accent1 6" xfId="273" xr:uid="{00000000-0005-0000-0000-00006D000000}"/>
    <cellStyle name="20% - Accent1 6 2" xfId="274" xr:uid="{00000000-0005-0000-0000-00006E000000}"/>
    <cellStyle name="20% - Accent1 6 2 2" xfId="275" xr:uid="{00000000-0005-0000-0000-00006F000000}"/>
    <cellStyle name="20% - Accent1 6 3" xfId="276" xr:uid="{00000000-0005-0000-0000-000070000000}"/>
    <cellStyle name="20% - Accent1 6_Sheet1" xfId="277" xr:uid="{00000000-0005-0000-0000-000071000000}"/>
    <cellStyle name="20% - Accent1 60" xfId="278" xr:uid="{00000000-0005-0000-0000-000072000000}"/>
    <cellStyle name="20% - Accent1 61" xfId="279" xr:uid="{00000000-0005-0000-0000-000073000000}"/>
    <cellStyle name="20% - Accent1 62" xfId="280" xr:uid="{00000000-0005-0000-0000-000074000000}"/>
    <cellStyle name="20% - Accent1 63" xfId="281" xr:uid="{00000000-0005-0000-0000-000075000000}"/>
    <cellStyle name="20% - Accent1 64" xfId="282" xr:uid="{00000000-0005-0000-0000-000076000000}"/>
    <cellStyle name="20% - Accent1 65" xfId="283" xr:uid="{00000000-0005-0000-0000-000077000000}"/>
    <cellStyle name="20% - Accent1 66" xfId="284" xr:uid="{00000000-0005-0000-0000-000078000000}"/>
    <cellStyle name="20% - Accent1 67" xfId="285" xr:uid="{00000000-0005-0000-0000-000079000000}"/>
    <cellStyle name="20% - Accent1 68" xfId="286" xr:uid="{00000000-0005-0000-0000-00007A000000}"/>
    <cellStyle name="20% - Accent1 69" xfId="287" xr:uid="{00000000-0005-0000-0000-00007B000000}"/>
    <cellStyle name="20% - Accent1 7" xfId="288" xr:uid="{00000000-0005-0000-0000-00007C000000}"/>
    <cellStyle name="20% - Accent1 7 2" xfId="289" xr:uid="{00000000-0005-0000-0000-00007D000000}"/>
    <cellStyle name="20% - Accent1 7 2 2" xfId="290" xr:uid="{00000000-0005-0000-0000-00007E000000}"/>
    <cellStyle name="20% - Accent1 7 3" xfId="291" xr:uid="{00000000-0005-0000-0000-00007F000000}"/>
    <cellStyle name="20% - Accent1 7_Sheet1" xfId="292" xr:uid="{00000000-0005-0000-0000-000080000000}"/>
    <cellStyle name="20% - Accent1 70" xfId="293" xr:uid="{00000000-0005-0000-0000-000081000000}"/>
    <cellStyle name="20% - Accent1 71" xfId="294" xr:uid="{00000000-0005-0000-0000-000082000000}"/>
    <cellStyle name="20% - Accent1 8" xfId="295" xr:uid="{00000000-0005-0000-0000-000083000000}"/>
    <cellStyle name="20% - Accent1 8 2" xfId="296" xr:uid="{00000000-0005-0000-0000-000084000000}"/>
    <cellStyle name="20% - Accent1 8 2 2" xfId="297" xr:uid="{00000000-0005-0000-0000-000085000000}"/>
    <cellStyle name="20% - Accent1 8 3" xfId="298" xr:uid="{00000000-0005-0000-0000-000086000000}"/>
    <cellStyle name="20% - Accent1 8_Sheet1" xfId="299" xr:uid="{00000000-0005-0000-0000-000087000000}"/>
    <cellStyle name="20% - Accent1 9" xfId="300" xr:uid="{00000000-0005-0000-0000-000088000000}"/>
    <cellStyle name="20% - Accent1 9 2" xfId="301" xr:uid="{00000000-0005-0000-0000-000089000000}"/>
    <cellStyle name="20% - Accent1 9 2 2" xfId="302" xr:uid="{00000000-0005-0000-0000-00008A000000}"/>
    <cellStyle name="20% - Accent1 9 3" xfId="303" xr:uid="{00000000-0005-0000-0000-00008B000000}"/>
    <cellStyle name="20% - Accent1 9_Sheet1" xfId="304" xr:uid="{00000000-0005-0000-0000-00008C000000}"/>
    <cellStyle name="20% - Accent2 10" xfId="305" xr:uid="{00000000-0005-0000-0000-00008E000000}"/>
    <cellStyle name="20% - Accent2 10 2" xfId="306" xr:uid="{00000000-0005-0000-0000-00008F000000}"/>
    <cellStyle name="20% - Accent2 10 2 2" xfId="307" xr:uid="{00000000-0005-0000-0000-000090000000}"/>
    <cellStyle name="20% - Accent2 10 3" xfId="308" xr:uid="{00000000-0005-0000-0000-000091000000}"/>
    <cellStyle name="20% - Accent2 10_Sheet1" xfId="309" xr:uid="{00000000-0005-0000-0000-000092000000}"/>
    <cellStyle name="20% - Accent2 11" xfId="310" xr:uid="{00000000-0005-0000-0000-000093000000}"/>
    <cellStyle name="20% - Accent2 11 2" xfId="311" xr:uid="{00000000-0005-0000-0000-000094000000}"/>
    <cellStyle name="20% - Accent2 11 2 2" xfId="312" xr:uid="{00000000-0005-0000-0000-000095000000}"/>
    <cellStyle name="20% - Accent2 11 3" xfId="313" xr:uid="{00000000-0005-0000-0000-000096000000}"/>
    <cellStyle name="20% - Accent2 11_Sheet1" xfId="314" xr:uid="{00000000-0005-0000-0000-000097000000}"/>
    <cellStyle name="20% - Accent2 12" xfId="315" xr:uid="{00000000-0005-0000-0000-000098000000}"/>
    <cellStyle name="20% - Accent2 12 2" xfId="316" xr:uid="{00000000-0005-0000-0000-000099000000}"/>
    <cellStyle name="20% - Accent2 12 2 2" xfId="317" xr:uid="{00000000-0005-0000-0000-00009A000000}"/>
    <cellStyle name="20% - Accent2 12 3" xfId="318" xr:uid="{00000000-0005-0000-0000-00009B000000}"/>
    <cellStyle name="20% - Accent2 12_Sheet1" xfId="319" xr:uid="{00000000-0005-0000-0000-00009C000000}"/>
    <cellStyle name="20% - Accent2 13" xfId="320" xr:uid="{00000000-0005-0000-0000-00009D000000}"/>
    <cellStyle name="20% - Accent2 13 2" xfId="321" xr:uid="{00000000-0005-0000-0000-00009E000000}"/>
    <cellStyle name="20% - Accent2 13 2 2" xfId="322" xr:uid="{00000000-0005-0000-0000-00009F000000}"/>
    <cellStyle name="20% - Accent2 13 3" xfId="323" xr:uid="{00000000-0005-0000-0000-0000A0000000}"/>
    <cellStyle name="20% - Accent2 13_Sheet1" xfId="324" xr:uid="{00000000-0005-0000-0000-0000A1000000}"/>
    <cellStyle name="20% - Accent2 14" xfId="325" xr:uid="{00000000-0005-0000-0000-0000A2000000}"/>
    <cellStyle name="20% - Accent2 14 2" xfId="326" xr:uid="{00000000-0005-0000-0000-0000A3000000}"/>
    <cellStyle name="20% - Accent2 14 2 2" xfId="327" xr:uid="{00000000-0005-0000-0000-0000A4000000}"/>
    <cellStyle name="20% - Accent2 14 3" xfId="328" xr:uid="{00000000-0005-0000-0000-0000A5000000}"/>
    <cellStyle name="20% - Accent2 14_Sheet1" xfId="329" xr:uid="{00000000-0005-0000-0000-0000A6000000}"/>
    <cellStyle name="20% - Accent2 15" xfId="330" xr:uid="{00000000-0005-0000-0000-0000A7000000}"/>
    <cellStyle name="20% - Accent2 15 2" xfId="331" xr:uid="{00000000-0005-0000-0000-0000A8000000}"/>
    <cellStyle name="20% - Accent2 15 2 2" xfId="332" xr:uid="{00000000-0005-0000-0000-0000A9000000}"/>
    <cellStyle name="20% - Accent2 15 3" xfId="333" xr:uid="{00000000-0005-0000-0000-0000AA000000}"/>
    <cellStyle name="20% - Accent2 15_Sheet1" xfId="334" xr:uid="{00000000-0005-0000-0000-0000AB000000}"/>
    <cellStyle name="20% - Accent2 16" xfId="335" xr:uid="{00000000-0005-0000-0000-0000AC000000}"/>
    <cellStyle name="20% - Accent2 16 2" xfId="336" xr:uid="{00000000-0005-0000-0000-0000AD000000}"/>
    <cellStyle name="20% - Accent2 16 2 2" xfId="337" xr:uid="{00000000-0005-0000-0000-0000AE000000}"/>
    <cellStyle name="20% - Accent2 16 3" xfId="338" xr:uid="{00000000-0005-0000-0000-0000AF000000}"/>
    <cellStyle name="20% - Accent2 16_Sheet1" xfId="339" xr:uid="{00000000-0005-0000-0000-0000B0000000}"/>
    <cellStyle name="20% - Accent2 17" xfId="340" xr:uid="{00000000-0005-0000-0000-0000B1000000}"/>
    <cellStyle name="20% - Accent2 17 2" xfId="341" xr:uid="{00000000-0005-0000-0000-0000B2000000}"/>
    <cellStyle name="20% - Accent2 17 2 2" xfId="342" xr:uid="{00000000-0005-0000-0000-0000B3000000}"/>
    <cellStyle name="20% - Accent2 17 3" xfId="343" xr:uid="{00000000-0005-0000-0000-0000B4000000}"/>
    <cellStyle name="20% - Accent2 17_Sheet1" xfId="344" xr:uid="{00000000-0005-0000-0000-0000B5000000}"/>
    <cellStyle name="20% - Accent2 18" xfId="345" xr:uid="{00000000-0005-0000-0000-0000B6000000}"/>
    <cellStyle name="20% - Accent2 18 2" xfId="346" xr:uid="{00000000-0005-0000-0000-0000B7000000}"/>
    <cellStyle name="20% - Accent2 18 2 2" xfId="347" xr:uid="{00000000-0005-0000-0000-0000B8000000}"/>
    <cellStyle name="20% - Accent2 18 3" xfId="348" xr:uid="{00000000-0005-0000-0000-0000B9000000}"/>
    <cellStyle name="20% - Accent2 18_Sheet1" xfId="349" xr:uid="{00000000-0005-0000-0000-0000BA000000}"/>
    <cellStyle name="20% - Accent2 19" xfId="350" xr:uid="{00000000-0005-0000-0000-0000BB000000}"/>
    <cellStyle name="20% - Accent2 2" xfId="351" xr:uid="{00000000-0005-0000-0000-0000BC000000}"/>
    <cellStyle name="20% - Accent2 2 2" xfId="352" xr:uid="{00000000-0005-0000-0000-0000BD000000}"/>
    <cellStyle name="20% - Accent2 2 2 2" xfId="353" xr:uid="{00000000-0005-0000-0000-0000BE000000}"/>
    <cellStyle name="20% - Accent2 2 3" xfId="354" xr:uid="{00000000-0005-0000-0000-0000BF000000}"/>
    <cellStyle name="20% - Accent2 2 3 2" xfId="355" xr:uid="{00000000-0005-0000-0000-0000C0000000}"/>
    <cellStyle name="20% - Accent2 2 4" xfId="356" xr:uid="{00000000-0005-0000-0000-0000C1000000}"/>
    <cellStyle name="20% - Accent2 2_Sheet1" xfId="357" xr:uid="{00000000-0005-0000-0000-0000C2000000}"/>
    <cellStyle name="20% - Accent2 20" xfId="358" xr:uid="{00000000-0005-0000-0000-0000C3000000}"/>
    <cellStyle name="20% - Accent2 21" xfId="359" xr:uid="{00000000-0005-0000-0000-0000C4000000}"/>
    <cellStyle name="20% - Accent2 22" xfId="360" xr:uid="{00000000-0005-0000-0000-0000C5000000}"/>
    <cellStyle name="20% - Accent2 23" xfId="361" xr:uid="{00000000-0005-0000-0000-0000C6000000}"/>
    <cellStyle name="20% - Accent2 24" xfId="362" xr:uid="{00000000-0005-0000-0000-0000C7000000}"/>
    <cellStyle name="20% - Accent2 25" xfId="363" xr:uid="{00000000-0005-0000-0000-0000C8000000}"/>
    <cellStyle name="20% - Accent2 26" xfId="364" xr:uid="{00000000-0005-0000-0000-0000C9000000}"/>
    <cellStyle name="20% - Accent2 27" xfId="365" xr:uid="{00000000-0005-0000-0000-0000CA000000}"/>
    <cellStyle name="20% - Accent2 28" xfId="366" xr:uid="{00000000-0005-0000-0000-0000CB000000}"/>
    <cellStyle name="20% - Accent2 29" xfId="367" xr:uid="{00000000-0005-0000-0000-0000CC000000}"/>
    <cellStyle name="20% - Accent2 3" xfId="368" xr:uid="{00000000-0005-0000-0000-0000CD000000}"/>
    <cellStyle name="20% - Accent2 3 2" xfId="369" xr:uid="{00000000-0005-0000-0000-0000CE000000}"/>
    <cellStyle name="20% - Accent2 3 2 2" xfId="370" xr:uid="{00000000-0005-0000-0000-0000CF000000}"/>
    <cellStyle name="20% - Accent2 3 3" xfId="371" xr:uid="{00000000-0005-0000-0000-0000D0000000}"/>
    <cellStyle name="20% - Accent2 3_Sheet1" xfId="372" xr:uid="{00000000-0005-0000-0000-0000D1000000}"/>
    <cellStyle name="20% - Accent2 30" xfId="373" xr:uid="{00000000-0005-0000-0000-0000D2000000}"/>
    <cellStyle name="20% - Accent2 31" xfId="374" xr:uid="{00000000-0005-0000-0000-0000D3000000}"/>
    <cellStyle name="20% - Accent2 32" xfId="375" xr:uid="{00000000-0005-0000-0000-0000D4000000}"/>
    <cellStyle name="20% - Accent2 33" xfId="376" xr:uid="{00000000-0005-0000-0000-0000D5000000}"/>
    <cellStyle name="20% - Accent2 34" xfId="377" xr:uid="{00000000-0005-0000-0000-0000D6000000}"/>
    <cellStyle name="20% - Accent2 35" xfId="378" xr:uid="{00000000-0005-0000-0000-0000D7000000}"/>
    <cellStyle name="20% - Accent2 36" xfId="379" xr:uid="{00000000-0005-0000-0000-0000D8000000}"/>
    <cellStyle name="20% - Accent2 37" xfId="380" xr:uid="{00000000-0005-0000-0000-0000D9000000}"/>
    <cellStyle name="20% - Accent2 38" xfId="381" xr:uid="{00000000-0005-0000-0000-0000DA000000}"/>
    <cellStyle name="20% - Accent2 39" xfId="382" xr:uid="{00000000-0005-0000-0000-0000DB000000}"/>
    <cellStyle name="20% - Accent2 4" xfId="383" xr:uid="{00000000-0005-0000-0000-0000DC000000}"/>
    <cellStyle name="20% - Accent2 4 2" xfId="384" xr:uid="{00000000-0005-0000-0000-0000DD000000}"/>
    <cellStyle name="20% - Accent2 4 2 2" xfId="385" xr:uid="{00000000-0005-0000-0000-0000DE000000}"/>
    <cellStyle name="20% - Accent2 4 3" xfId="386" xr:uid="{00000000-0005-0000-0000-0000DF000000}"/>
    <cellStyle name="20% - Accent2 4_Sheet1" xfId="387" xr:uid="{00000000-0005-0000-0000-0000E0000000}"/>
    <cellStyle name="20% - Accent2 40" xfId="388" xr:uid="{00000000-0005-0000-0000-0000E1000000}"/>
    <cellStyle name="20% - Accent2 41" xfId="389" xr:uid="{00000000-0005-0000-0000-0000E2000000}"/>
    <cellStyle name="20% - Accent2 42" xfId="390" xr:uid="{00000000-0005-0000-0000-0000E3000000}"/>
    <cellStyle name="20% - Accent2 43" xfId="391" xr:uid="{00000000-0005-0000-0000-0000E4000000}"/>
    <cellStyle name="20% - Accent2 44" xfId="392" xr:uid="{00000000-0005-0000-0000-0000E5000000}"/>
    <cellStyle name="20% - Accent2 45" xfId="393" xr:uid="{00000000-0005-0000-0000-0000E6000000}"/>
    <cellStyle name="20% - Accent2 46" xfId="394" xr:uid="{00000000-0005-0000-0000-0000E7000000}"/>
    <cellStyle name="20% - Accent2 47" xfId="395" xr:uid="{00000000-0005-0000-0000-0000E8000000}"/>
    <cellStyle name="20% - Accent2 48" xfId="396" xr:uid="{00000000-0005-0000-0000-0000E9000000}"/>
    <cellStyle name="20% - Accent2 49" xfId="397" xr:uid="{00000000-0005-0000-0000-0000EA000000}"/>
    <cellStyle name="20% - Accent2 5" xfId="398" xr:uid="{00000000-0005-0000-0000-0000EB000000}"/>
    <cellStyle name="20% - Accent2 5 2" xfId="399" xr:uid="{00000000-0005-0000-0000-0000EC000000}"/>
    <cellStyle name="20% - Accent2 5 2 2" xfId="400" xr:uid="{00000000-0005-0000-0000-0000ED000000}"/>
    <cellStyle name="20% - Accent2 5 3" xfId="401" xr:uid="{00000000-0005-0000-0000-0000EE000000}"/>
    <cellStyle name="20% - Accent2 5_Sheet1" xfId="402" xr:uid="{00000000-0005-0000-0000-0000EF000000}"/>
    <cellStyle name="20% - Accent2 50" xfId="403" xr:uid="{00000000-0005-0000-0000-0000F0000000}"/>
    <cellStyle name="20% - Accent2 51" xfId="404" xr:uid="{00000000-0005-0000-0000-0000F1000000}"/>
    <cellStyle name="20% - Accent2 52" xfId="405" xr:uid="{00000000-0005-0000-0000-0000F2000000}"/>
    <cellStyle name="20% - Accent2 53" xfId="406" xr:uid="{00000000-0005-0000-0000-0000F3000000}"/>
    <cellStyle name="20% - Accent2 54" xfId="407" xr:uid="{00000000-0005-0000-0000-0000F4000000}"/>
    <cellStyle name="20% - Accent2 55" xfId="408" xr:uid="{00000000-0005-0000-0000-0000F5000000}"/>
    <cellStyle name="20% - Accent2 56" xfId="409" xr:uid="{00000000-0005-0000-0000-0000F6000000}"/>
    <cellStyle name="20% - Accent2 57" xfId="410" xr:uid="{00000000-0005-0000-0000-0000F7000000}"/>
    <cellStyle name="20% - Accent2 58" xfId="411" xr:uid="{00000000-0005-0000-0000-0000F8000000}"/>
    <cellStyle name="20% - Accent2 59" xfId="412" xr:uid="{00000000-0005-0000-0000-0000F9000000}"/>
    <cellStyle name="20% - Accent2 6" xfId="413" xr:uid="{00000000-0005-0000-0000-0000FA000000}"/>
    <cellStyle name="20% - Accent2 6 2" xfId="414" xr:uid="{00000000-0005-0000-0000-0000FB000000}"/>
    <cellStyle name="20% - Accent2 6 2 2" xfId="415" xr:uid="{00000000-0005-0000-0000-0000FC000000}"/>
    <cellStyle name="20% - Accent2 6 3" xfId="416" xr:uid="{00000000-0005-0000-0000-0000FD000000}"/>
    <cellStyle name="20% - Accent2 6_Sheet1" xfId="417" xr:uid="{00000000-0005-0000-0000-0000FE000000}"/>
    <cellStyle name="20% - Accent2 60" xfId="418" xr:uid="{00000000-0005-0000-0000-0000FF000000}"/>
    <cellStyle name="20% - Accent2 61" xfId="419" xr:uid="{00000000-0005-0000-0000-000000010000}"/>
    <cellStyle name="20% - Accent2 62" xfId="420" xr:uid="{00000000-0005-0000-0000-000001010000}"/>
    <cellStyle name="20% - Accent2 63" xfId="421" xr:uid="{00000000-0005-0000-0000-000002010000}"/>
    <cellStyle name="20% - Accent2 64" xfId="422" xr:uid="{00000000-0005-0000-0000-000003010000}"/>
    <cellStyle name="20% - Accent2 65" xfId="423" xr:uid="{00000000-0005-0000-0000-000004010000}"/>
    <cellStyle name="20% - Accent2 66" xfId="424" xr:uid="{00000000-0005-0000-0000-000005010000}"/>
    <cellStyle name="20% - Accent2 67" xfId="425" xr:uid="{00000000-0005-0000-0000-000006010000}"/>
    <cellStyle name="20% - Accent2 68" xfId="426" xr:uid="{00000000-0005-0000-0000-000007010000}"/>
    <cellStyle name="20% - Accent2 69" xfId="427" xr:uid="{00000000-0005-0000-0000-000008010000}"/>
    <cellStyle name="20% - Accent2 7" xfId="428" xr:uid="{00000000-0005-0000-0000-000009010000}"/>
    <cellStyle name="20% - Accent2 7 2" xfId="429" xr:uid="{00000000-0005-0000-0000-00000A010000}"/>
    <cellStyle name="20% - Accent2 7 2 2" xfId="430" xr:uid="{00000000-0005-0000-0000-00000B010000}"/>
    <cellStyle name="20% - Accent2 7 3" xfId="431" xr:uid="{00000000-0005-0000-0000-00000C010000}"/>
    <cellStyle name="20% - Accent2 7_Sheet1" xfId="432" xr:uid="{00000000-0005-0000-0000-00000D010000}"/>
    <cellStyle name="20% - Accent2 70" xfId="433" xr:uid="{00000000-0005-0000-0000-00000E010000}"/>
    <cellStyle name="20% - Accent2 71" xfId="434" xr:uid="{00000000-0005-0000-0000-00000F010000}"/>
    <cellStyle name="20% - Accent2 8" xfId="435" xr:uid="{00000000-0005-0000-0000-000010010000}"/>
    <cellStyle name="20% - Accent2 8 2" xfId="436" xr:uid="{00000000-0005-0000-0000-000011010000}"/>
    <cellStyle name="20% - Accent2 8 2 2" xfId="437" xr:uid="{00000000-0005-0000-0000-000012010000}"/>
    <cellStyle name="20% - Accent2 8 3" xfId="438" xr:uid="{00000000-0005-0000-0000-000013010000}"/>
    <cellStyle name="20% - Accent2 8_Sheet1" xfId="439" xr:uid="{00000000-0005-0000-0000-000014010000}"/>
    <cellStyle name="20% - Accent2 9" xfId="440" xr:uid="{00000000-0005-0000-0000-000015010000}"/>
    <cellStyle name="20% - Accent2 9 2" xfId="441" xr:uid="{00000000-0005-0000-0000-000016010000}"/>
    <cellStyle name="20% - Accent2 9 2 2" xfId="442" xr:uid="{00000000-0005-0000-0000-000017010000}"/>
    <cellStyle name="20% - Accent2 9 3" xfId="443" xr:uid="{00000000-0005-0000-0000-000018010000}"/>
    <cellStyle name="20% - Accent2 9_Sheet1" xfId="444" xr:uid="{00000000-0005-0000-0000-000019010000}"/>
    <cellStyle name="20% - Accent3 10" xfId="445" xr:uid="{00000000-0005-0000-0000-00001B010000}"/>
    <cellStyle name="20% - Accent3 10 2" xfId="446" xr:uid="{00000000-0005-0000-0000-00001C010000}"/>
    <cellStyle name="20% - Accent3 10 2 2" xfId="447" xr:uid="{00000000-0005-0000-0000-00001D010000}"/>
    <cellStyle name="20% - Accent3 10 3" xfId="448" xr:uid="{00000000-0005-0000-0000-00001E010000}"/>
    <cellStyle name="20% - Accent3 10_Sheet1" xfId="449" xr:uid="{00000000-0005-0000-0000-00001F010000}"/>
    <cellStyle name="20% - Accent3 11" xfId="450" xr:uid="{00000000-0005-0000-0000-000020010000}"/>
    <cellStyle name="20% - Accent3 11 2" xfId="451" xr:uid="{00000000-0005-0000-0000-000021010000}"/>
    <cellStyle name="20% - Accent3 11 2 2" xfId="452" xr:uid="{00000000-0005-0000-0000-000022010000}"/>
    <cellStyle name="20% - Accent3 11 3" xfId="453" xr:uid="{00000000-0005-0000-0000-000023010000}"/>
    <cellStyle name="20% - Accent3 11_Sheet1" xfId="454" xr:uid="{00000000-0005-0000-0000-000024010000}"/>
    <cellStyle name="20% - Accent3 12" xfId="455" xr:uid="{00000000-0005-0000-0000-000025010000}"/>
    <cellStyle name="20% - Accent3 12 2" xfId="456" xr:uid="{00000000-0005-0000-0000-000026010000}"/>
    <cellStyle name="20% - Accent3 12 2 2" xfId="457" xr:uid="{00000000-0005-0000-0000-000027010000}"/>
    <cellStyle name="20% - Accent3 12 3" xfId="458" xr:uid="{00000000-0005-0000-0000-000028010000}"/>
    <cellStyle name="20% - Accent3 12_Sheet1" xfId="459" xr:uid="{00000000-0005-0000-0000-000029010000}"/>
    <cellStyle name="20% - Accent3 13" xfId="460" xr:uid="{00000000-0005-0000-0000-00002A010000}"/>
    <cellStyle name="20% - Accent3 13 2" xfId="461" xr:uid="{00000000-0005-0000-0000-00002B010000}"/>
    <cellStyle name="20% - Accent3 13 2 2" xfId="462" xr:uid="{00000000-0005-0000-0000-00002C010000}"/>
    <cellStyle name="20% - Accent3 13 3" xfId="463" xr:uid="{00000000-0005-0000-0000-00002D010000}"/>
    <cellStyle name="20% - Accent3 13_Sheet1" xfId="464" xr:uid="{00000000-0005-0000-0000-00002E010000}"/>
    <cellStyle name="20% - Accent3 14" xfId="465" xr:uid="{00000000-0005-0000-0000-00002F010000}"/>
    <cellStyle name="20% - Accent3 14 2" xfId="466" xr:uid="{00000000-0005-0000-0000-000030010000}"/>
    <cellStyle name="20% - Accent3 14 2 2" xfId="467" xr:uid="{00000000-0005-0000-0000-000031010000}"/>
    <cellStyle name="20% - Accent3 14 3" xfId="468" xr:uid="{00000000-0005-0000-0000-000032010000}"/>
    <cellStyle name="20% - Accent3 14_Sheet1" xfId="469" xr:uid="{00000000-0005-0000-0000-000033010000}"/>
    <cellStyle name="20% - Accent3 15" xfId="470" xr:uid="{00000000-0005-0000-0000-000034010000}"/>
    <cellStyle name="20% - Accent3 15 2" xfId="471" xr:uid="{00000000-0005-0000-0000-000035010000}"/>
    <cellStyle name="20% - Accent3 15 2 2" xfId="472" xr:uid="{00000000-0005-0000-0000-000036010000}"/>
    <cellStyle name="20% - Accent3 15 3" xfId="473" xr:uid="{00000000-0005-0000-0000-000037010000}"/>
    <cellStyle name="20% - Accent3 15_Sheet1" xfId="474" xr:uid="{00000000-0005-0000-0000-000038010000}"/>
    <cellStyle name="20% - Accent3 16" xfId="475" xr:uid="{00000000-0005-0000-0000-000039010000}"/>
    <cellStyle name="20% - Accent3 16 2" xfId="476" xr:uid="{00000000-0005-0000-0000-00003A010000}"/>
    <cellStyle name="20% - Accent3 16 2 2" xfId="477" xr:uid="{00000000-0005-0000-0000-00003B010000}"/>
    <cellStyle name="20% - Accent3 16 3" xfId="478" xr:uid="{00000000-0005-0000-0000-00003C010000}"/>
    <cellStyle name="20% - Accent3 16_Sheet1" xfId="479" xr:uid="{00000000-0005-0000-0000-00003D010000}"/>
    <cellStyle name="20% - Accent3 17" xfId="480" xr:uid="{00000000-0005-0000-0000-00003E010000}"/>
    <cellStyle name="20% - Accent3 17 2" xfId="481" xr:uid="{00000000-0005-0000-0000-00003F010000}"/>
    <cellStyle name="20% - Accent3 17 2 2" xfId="482" xr:uid="{00000000-0005-0000-0000-000040010000}"/>
    <cellStyle name="20% - Accent3 17 3" xfId="483" xr:uid="{00000000-0005-0000-0000-000041010000}"/>
    <cellStyle name="20% - Accent3 17_Sheet1" xfId="484" xr:uid="{00000000-0005-0000-0000-000042010000}"/>
    <cellStyle name="20% - Accent3 18" xfId="485" xr:uid="{00000000-0005-0000-0000-000043010000}"/>
    <cellStyle name="20% - Accent3 18 2" xfId="486" xr:uid="{00000000-0005-0000-0000-000044010000}"/>
    <cellStyle name="20% - Accent3 18 2 2" xfId="487" xr:uid="{00000000-0005-0000-0000-000045010000}"/>
    <cellStyle name="20% - Accent3 18 3" xfId="488" xr:uid="{00000000-0005-0000-0000-000046010000}"/>
    <cellStyle name="20% - Accent3 18_Sheet1" xfId="489" xr:uid="{00000000-0005-0000-0000-000047010000}"/>
    <cellStyle name="20% - Accent3 19" xfId="490" xr:uid="{00000000-0005-0000-0000-000048010000}"/>
    <cellStyle name="20% - Accent3 2" xfId="491" xr:uid="{00000000-0005-0000-0000-000049010000}"/>
    <cellStyle name="20% - Accent3 2 2" xfId="492" xr:uid="{00000000-0005-0000-0000-00004A010000}"/>
    <cellStyle name="20% - Accent3 2 2 2" xfId="493" xr:uid="{00000000-0005-0000-0000-00004B010000}"/>
    <cellStyle name="20% - Accent3 2 3" xfId="494" xr:uid="{00000000-0005-0000-0000-00004C010000}"/>
    <cellStyle name="20% - Accent3 2 3 2" xfId="495" xr:uid="{00000000-0005-0000-0000-00004D010000}"/>
    <cellStyle name="20% - Accent3 2 4" xfId="496" xr:uid="{00000000-0005-0000-0000-00004E010000}"/>
    <cellStyle name="20% - Accent3 2_Sheet1" xfId="497" xr:uid="{00000000-0005-0000-0000-00004F010000}"/>
    <cellStyle name="20% - Accent3 20" xfId="498" xr:uid="{00000000-0005-0000-0000-000050010000}"/>
    <cellStyle name="20% - Accent3 21" xfId="499" xr:uid="{00000000-0005-0000-0000-000051010000}"/>
    <cellStyle name="20% - Accent3 22" xfId="500" xr:uid="{00000000-0005-0000-0000-000052010000}"/>
    <cellStyle name="20% - Accent3 23" xfId="501" xr:uid="{00000000-0005-0000-0000-000053010000}"/>
    <cellStyle name="20% - Accent3 24" xfId="502" xr:uid="{00000000-0005-0000-0000-000054010000}"/>
    <cellStyle name="20% - Accent3 25" xfId="503" xr:uid="{00000000-0005-0000-0000-000055010000}"/>
    <cellStyle name="20% - Accent3 26" xfId="504" xr:uid="{00000000-0005-0000-0000-000056010000}"/>
    <cellStyle name="20% - Accent3 27" xfId="505" xr:uid="{00000000-0005-0000-0000-000057010000}"/>
    <cellStyle name="20% - Accent3 28" xfId="506" xr:uid="{00000000-0005-0000-0000-000058010000}"/>
    <cellStyle name="20% - Accent3 29" xfId="507" xr:uid="{00000000-0005-0000-0000-000059010000}"/>
    <cellStyle name="20% - Accent3 3" xfId="508" xr:uid="{00000000-0005-0000-0000-00005A010000}"/>
    <cellStyle name="20% - Accent3 3 2" xfId="509" xr:uid="{00000000-0005-0000-0000-00005B010000}"/>
    <cellStyle name="20% - Accent3 3 2 2" xfId="510" xr:uid="{00000000-0005-0000-0000-00005C010000}"/>
    <cellStyle name="20% - Accent3 3 3" xfId="511" xr:uid="{00000000-0005-0000-0000-00005D010000}"/>
    <cellStyle name="20% - Accent3 3_Sheet1" xfId="512" xr:uid="{00000000-0005-0000-0000-00005E010000}"/>
    <cellStyle name="20% - Accent3 30" xfId="513" xr:uid="{00000000-0005-0000-0000-00005F010000}"/>
    <cellStyle name="20% - Accent3 31" xfId="514" xr:uid="{00000000-0005-0000-0000-000060010000}"/>
    <cellStyle name="20% - Accent3 32" xfId="515" xr:uid="{00000000-0005-0000-0000-000061010000}"/>
    <cellStyle name="20% - Accent3 33" xfId="516" xr:uid="{00000000-0005-0000-0000-000062010000}"/>
    <cellStyle name="20% - Accent3 34" xfId="517" xr:uid="{00000000-0005-0000-0000-000063010000}"/>
    <cellStyle name="20% - Accent3 35" xfId="518" xr:uid="{00000000-0005-0000-0000-000064010000}"/>
    <cellStyle name="20% - Accent3 36" xfId="519" xr:uid="{00000000-0005-0000-0000-000065010000}"/>
    <cellStyle name="20% - Accent3 37" xfId="520" xr:uid="{00000000-0005-0000-0000-000066010000}"/>
    <cellStyle name="20% - Accent3 38" xfId="521" xr:uid="{00000000-0005-0000-0000-000067010000}"/>
    <cellStyle name="20% - Accent3 39" xfId="522" xr:uid="{00000000-0005-0000-0000-000068010000}"/>
    <cellStyle name="20% - Accent3 4" xfId="523" xr:uid="{00000000-0005-0000-0000-000069010000}"/>
    <cellStyle name="20% - Accent3 4 2" xfId="524" xr:uid="{00000000-0005-0000-0000-00006A010000}"/>
    <cellStyle name="20% - Accent3 4 2 2" xfId="525" xr:uid="{00000000-0005-0000-0000-00006B010000}"/>
    <cellStyle name="20% - Accent3 4 3" xfId="526" xr:uid="{00000000-0005-0000-0000-00006C010000}"/>
    <cellStyle name="20% - Accent3 4_Sheet1" xfId="527" xr:uid="{00000000-0005-0000-0000-00006D010000}"/>
    <cellStyle name="20% - Accent3 40" xfId="528" xr:uid="{00000000-0005-0000-0000-00006E010000}"/>
    <cellStyle name="20% - Accent3 41" xfId="529" xr:uid="{00000000-0005-0000-0000-00006F010000}"/>
    <cellStyle name="20% - Accent3 42" xfId="530" xr:uid="{00000000-0005-0000-0000-000070010000}"/>
    <cellStyle name="20% - Accent3 43" xfId="531" xr:uid="{00000000-0005-0000-0000-000071010000}"/>
    <cellStyle name="20% - Accent3 44" xfId="532" xr:uid="{00000000-0005-0000-0000-000072010000}"/>
    <cellStyle name="20% - Accent3 45" xfId="533" xr:uid="{00000000-0005-0000-0000-000073010000}"/>
    <cellStyle name="20% - Accent3 46" xfId="534" xr:uid="{00000000-0005-0000-0000-000074010000}"/>
    <cellStyle name="20% - Accent3 47" xfId="535" xr:uid="{00000000-0005-0000-0000-000075010000}"/>
    <cellStyle name="20% - Accent3 48" xfId="536" xr:uid="{00000000-0005-0000-0000-000076010000}"/>
    <cellStyle name="20% - Accent3 49" xfId="537" xr:uid="{00000000-0005-0000-0000-000077010000}"/>
    <cellStyle name="20% - Accent3 5" xfId="538" xr:uid="{00000000-0005-0000-0000-000078010000}"/>
    <cellStyle name="20% - Accent3 5 2" xfId="539" xr:uid="{00000000-0005-0000-0000-000079010000}"/>
    <cellStyle name="20% - Accent3 5 2 2" xfId="540" xr:uid="{00000000-0005-0000-0000-00007A010000}"/>
    <cellStyle name="20% - Accent3 5 3" xfId="541" xr:uid="{00000000-0005-0000-0000-00007B010000}"/>
    <cellStyle name="20% - Accent3 5_Sheet1" xfId="542" xr:uid="{00000000-0005-0000-0000-00007C010000}"/>
    <cellStyle name="20% - Accent3 50" xfId="543" xr:uid="{00000000-0005-0000-0000-00007D010000}"/>
    <cellStyle name="20% - Accent3 51" xfId="544" xr:uid="{00000000-0005-0000-0000-00007E010000}"/>
    <cellStyle name="20% - Accent3 52" xfId="545" xr:uid="{00000000-0005-0000-0000-00007F010000}"/>
    <cellStyle name="20% - Accent3 53" xfId="546" xr:uid="{00000000-0005-0000-0000-000080010000}"/>
    <cellStyle name="20% - Accent3 54" xfId="547" xr:uid="{00000000-0005-0000-0000-000081010000}"/>
    <cellStyle name="20% - Accent3 55" xfId="548" xr:uid="{00000000-0005-0000-0000-000082010000}"/>
    <cellStyle name="20% - Accent3 56" xfId="549" xr:uid="{00000000-0005-0000-0000-000083010000}"/>
    <cellStyle name="20% - Accent3 57" xfId="550" xr:uid="{00000000-0005-0000-0000-000084010000}"/>
    <cellStyle name="20% - Accent3 58" xfId="551" xr:uid="{00000000-0005-0000-0000-000085010000}"/>
    <cellStyle name="20% - Accent3 59" xfId="552" xr:uid="{00000000-0005-0000-0000-000086010000}"/>
    <cellStyle name="20% - Accent3 6" xfId="553" xr:uid="{00000000-0005-0000-0000-000087010000}"/>
    <cellStyle name="20% - Accent3 6 2" xfId="554" xr:uid="{00000000-0005-0000-0000-000088010000}"/>
    <cellStyle name="20% - Accent3 6 2 2" xfId="555" xr:uid="{00000000-0005-0000-0000-000089010000}"/>
    <cellStyle name="20% - Accent3 6 3" xfId="556" xr:uid="{00000000-0005-0000-0000-00008A010000}"/>
    <cellStyle name="20% - Accent3 6_Sheet1" xfId="557" xr:uid="{00000000-0005-0000-0000-00008B010000}"/>
    <cellStyle name="20% - Accent3 60" xfId="558" xr:uid="{00000000-0005-0000-0000-00008C010000}"/>
    <cellStyle name="20% - Accent3 61" xfId="559" xr:uid="{00000000-0005-0000-0000-00008D010000}"/>
    <cellStyle name="20% - Accent3 62" xfId="560" xr:uid="{00000000-0005-0000-0000-00008E010000}"/>
    <cellStyle name="20% - Accent3 63" xfId="561" xr:uid="{00000000-0005-0000-0000-00008F010000}"/>
    <cellStyle name="20% - Accent3 64" xfId="562" xr:uid="{00000000-0005-0000-0000-000090010000}"/>
    <cellStyle name="20% - Accent3 65" xfId="563" xr:uid="{00000000-0005-0000-0000-000091010000}"/>
    <cellStyle name="20% - Accent3 66" xfId="564" xr:uid="{00000000-0005-0000-0000-000092010000}"/>
    <cellStyle name="20% - Accent3 67" xfId="565" xr:uid="{00000000-0005-0000-0000-000093010000}"/>
    <cellStyle name="20% - Accent3 68" xfId="566" xr:uid="{00000000-0005-0000-0000-000094010000}"/>
    <cellStyle name="20% - Accent3 69" xfId="567" xr:uid="{00000000-0005-0000-0000-000095010000}"/>
    <cellStyle name="20% - Accent3 7" xfId="568" xr:uid="{00000000-0005-0000-0000-000096010000}"/>
    <cellStyle name="20% - Accent3 7 2" xfId="569" xr:uid="{00000000-0005-0000-0000-000097010000}"/>
    <cellStyle name="20% - Accent3 7 2 2" xfId="570" xr:uid="{00000000-0005-0000-0000-000098010000}"/>
    <cellStyle name="20% - Accent3 7 3" xfId="571" xr:uid="{00000000-0005-0000-0000-000099010000}"/>
    <cellStyle name="20% - Accent3 7_Sheet1" xfId="572" xr:uid="{00000000-0005-0000-0000-00009A010000}"/>
    <cellStyle name="20% - Accent3 70" xfId="573" xr:uid="{00000000-0005-0000-0000-00009B010000}"/>
    <cellStyle name="20% - Accent3 71" xfId="574" xr:uid="{00000000-0005-0000-0000-00009C010000}"/>
    <cellStyle name="20% - Accent3 8" xfId="575" xr:uid="{00000000-0005-0000-0000-00009D010000}"/>
    <cellStyle name="20% - Accent3 8 2" xfId="576" xr:uid="{00000000-0005-0000-0000-00009E010000}"/>
    <cellStyle name="20% - Accent3 8 2 2" xfId="577" xr:uid="{00000000-0005-0000-0000-00009F010000}"/>
    <cellStyle name="20% - Accent3 8 3" xfId="578" xr:uid="{00000000-0005-0000-0000-0000A0010000}"/>
    <cellStyle name="20% - Accent3 8_Sheet1" xfId="579" xr:uid="{00000000-0005-0000-0000-0000A1010000}"/>
    <cellStyle name="20% - Accent3 9" xfId="580" xr:uid="{00000000-0005-0000-0000-0000A2010000}"/>
    <cellStyle name="20% - Accent3 9 2" xfId="581" xr:uid="{00000000-0005-0000-0000-0000A3010000}"/>
    <cellStyle name="20% - Accent3 9 2 2" xfId="582" xr:uid="{00000000-0005-0000-0000-0000A4010000}"/>
    <cellStyle name="20% - Accent3 9 3" xfId="583" xr:uid="{00000000-0005-0000-0000-0000A5010000}"/>
    <cellStyle name="20% - Accent3 9_Sheet1" xfId="584" xr:uid="{00000000-0005-0000-0000-0000A6010000}"/>
    <cellStyle name="20% - Accent4 10" xfId="585" xr:uid="{00000000-0005-0000-0000-0000A8010000}"/>
    <cellStyle name="20% - Accent4 10 2" xfId="586" xr:uid="{00000000-0005-0000-0000-0000A9010000}"/>
    <cellStyle name="20% - Accent4 10 2 2" xfId="587" xr:uid="{00000000-0005-0000-0000-0000AA010000}"/>
    <cellStyle name="20% - Accent4 10 3" xfId="588" xr:uid="{00000000-0005-0000-0000-0000AB010000}"/>
    <cellStyle name="20% - Accent4 10_Sheet1" xfId="589" xr:uid="{00000000-0005-0000-0000-0000AC010000}"/>
    <cellStyle name="20% - Accent4 11" xfId="590" xr:uid="{00000000-0005-0000-0000-0000AD010000}"/>
    <cellStyle name="20% - Accent4 11 2" xfId="591" xr:uid="{00000000-0005-0000-0000-0000AE010000}"/>
    <cellStyle name="20% - Accent4 11 2 2" xfId="592" xr:uid="{00000000-0005-0000-0000-0000AF010000}"/>
    <cellStyle name="20% - Accent4 11 3" xfId="593" xr:uid="{00000000-0005-0000-0000-0000B0010000}"/>
    <cellStyle name="20% - Accent4 11_Sheet1" xfId="594" xr:uid="{00000000-0005-0000-0000-0000B1010000}"/>
    <cellStyle name="20% - Accent4 12" xfId="595" xr:uid="{00000000-0005-0000-0000-0000B2010000}"/>
    <cellStyle name="20% - Accent4 12 2" xfId="596" xr:uid="{00000000-0005-0000-0000-0000B3010000}"/>
    <cellStyle name="20% - Accent4 12 2 2" xfId="597" xr:uid="{00000000-0005-0000-0000-0000B4010000}"/>
    <cellStyle name="20% - Accent4 12 3" xfId="598" xr:uid="{00000000-0005-0000-0000-0000B5010000}"/>
    <cellStyle name="20% - Accent4 12_Sheet1" xfId="599" xr:uid="{00000000-0005-0000-0000-0000B6010000}"/>
    <cellStyle name="20% - Accent4 13" xfId="600" xr:uid="{00000000-0005-0000-0000-0000B7010000}"/>
    <cellStyle name="20% - Accent4 13 2" xfId="601" xr:uid="{00000000-0005-0000-0000-0000B8010000}"/>
    <cellStyle name="20% - Accent4 13 2 2" xfId="602" xr:uid="{00000000-0005-0000-0000-0000B9010000}"/>
    <cellStyle name="20% - Accent4 13 3" xfId="603" xr:uid="{00000000-0005-0000-0000-0000BA010000}"/>
    <cellStyle name="20% - Accent4 13_Sheet1" xfId="604" xr:uid="{00000000-0005-0000-0000-0000BB010000}"/>
    <cellStyle name="20% - Accent4 14" xfId="605" xr:uid="{00000000-0005-0000-0000-0000BC010000}"/>
    <cellStyle name="20% - Accent4 14 2" xfId="606" xr:uid="{00000000-0005-0000-0000-0000BD010000}"/>
    <cellStyle name="20% - Accent4 14 2 2" xfId="607" xr:uid="{00000000-0005-0000-0000-0000BE010000}"/>
    <cellStyle name="20% - Accent4 14 3" xfId="608" xr:uid="{00000000-0005-0000-0000-0000BF010000}"/>
    <cellStyle name="20% - Accent4 14_Sheet1" xfId="609" xr:uid="{00000000-0005-0000-0000-0000C0010000}"/>
    <cellStyle name="20% - Accent4 15" xfId="610" xr:uid="{00000000-0005-0000-0000-0000C1010000}"/>
    <cellStyle name="20% - Accent4 15 2" xfId="611" xr:uid="{00000000-0005-0000-0000-0000C2010000}"/>
    <cellStyle name="20% - Accent4 15 2 2" xfId="612" xr:uid="{00000000-0005-0000-0000-0000C3010000}"/>
    <cellStyle name="20% - Accent4 15 3" xfId="613" xr:uid="{00000000-0005-0000-0000-0000C4010000}"/>
    <cellStyle name="20% - Accent4 15_Sheet1" xfId="614" xr:uid="{00000000-0005-0000-0000-0000C5010000}"/>
    <cellStyle name="20% - Accent4 16" xfId="615" xr:uid="{00000000-0005-0000-0000-0000C6010000}"/>
    <cellStyle name="20% - Accent4 16 2" xfId="616" xr:uid="{00000000-0005-0000-0000-0000C7010000}"/>
    <cellStyle name="20% - Accent4 16 2 2" xfId="617" xr:uid="{00000000-0005-0000-0000-0000C8010000}"/>
    <cellStyle name="20% - Accent4 16 3" xfId="618" xr:uid="{00000000-0005-0000-0000-0000C9010000}"/>
    <cellStyle name="20% - Accent4 16_Sheet1" xfId="619" xr:uid="{00000000-0005-0000-0000-0000CA010000}"/>
    <cellStyle name="20% - Accent4 17" xfId="620" xr:uid="{00000000-0005-0000-0000-0000CB010000}"/>
    <cellStyle name="20% - Accent4 17 2" xfId="621" xr:uid="{00000000-0005-0000-0000-0000CC010000}"/>
    <cellStyle name="20% - Accent4 17 2 2" xfId="622" xr:uid="{00000000-0005-0000-0000-0000CD010000}"/>
    <cellStyle name="20% - Accent4 17 3" xfId="623" xr:uid="{00000000-0005-0000-0000-0000CE010000}"/>
    <cellStyle name="20% - Accent4 17_Sheet1" xfId="624" xr:uid="{00000000-0005-0000-0000-0000CF010000}"/>
    <cellStyle name="20% - Accent4 18" xfId="625" xr:uid="{00000000-0005-0000-0000-0000D0010000}"/>
    <cellStyle name="20% - Accent4 18 2" xfId="626" xr:uid="{00000000-0005-0000-0000-0000D1010000}"/>
    <cellStyle name="20% - Accent4 18 2 2" xfId="627" xr:uid="{00000000-0005-0000-0000-0000D2010000}"/>
    <cellStyle name="20% - Accent4 18 3" xfId="628" xr:uid="{00000000-0005-0000-0000-0000D3010000}"/>
    <cellStyle name="20% - Accent4 18_Sheet1" xfId="629" xr:uid="{00000000-0005-0000-0000-0000D4010000}"/>
    <cellStyle name="20% - Accent4 19" xfId="630" xr:uid="{00000000-0005-0000-0000-0000D5010000}"/>
    <cellStyle name="20% - Accent4 2" xfId="631" xr:uid="{00000000-0005-0000-0000-0000D6010000}"/>
    <cellStyle name="20% - Accent4 2 2" xfId="632" xr:uid="{00000000-0005-0000-0000-0000D7010000}"/>
    <cellStyle name="20% - Accent4 2 2 2" xfId="633" xr:uid="{00000000-0005-0000-0000-0000D8010000}"/>
    <cellStyle name="20% - Accent4 2 3" xfId="634" xr:uid="{00000000-0005-0000-0000-0000D9010000}"/>
    <cellStyle name="20% - Accent4 2 3 2" xfId="635" xr:uid="{00000000-0005-0000-0000-0000DA010000}"/>
    <cellStyle name="20% - Accent4 2 4" xfId="636" xr:uid="{00000000-0005-0000-0000-0000DB010000}"/>
    <cellStyle name="20% - Accent4 2_Sheet1" xfId="637" xr:uid="{00000000-0005-0000-0000-0000DC010000}"/>
    <cellStyle name="20% - Accent4 20" xfId="638" xr:uid="{00000000-0005-0000-0000-0000DD010000}"/>
    <cellStyle name="20% - Accent4 21" xfId="639" xr:uid="{00000000-0005-0000-0000-0000DE010000}"/>
    <cellStyle name="20% - Accent4 22" xfId="640" xr:uid="{00000000-0005-0000-0000-0000DF010000}"/>
    <cellStyle name="20% - Accent4 23" xfId="641" xr:uid="{00000000-0005-0000-0000-0000E0010000}"/>
    <cellStyle name="20% - Accent4 24" xfId="642" xr:uid="{00000000-0005-0000-0000-0000E1010000}"/>
    <cellStyle name="20% - Accent4 25" xfId="643" xr:uid="{00000000-0005-0000-0000-0000E2010000}"/>
    <cellStyle name="20% - Accent4 26" xfId="644" xr:uid="{00000000-0005-0000-0000-0000E3010000}"/>
    <cellStyle name="20% - Accent4 27" xfId="645" xr:uid="{00000000-0005-0000-0000-0000E4010000}"/>
    <cellStyle name="20% - Accent4 28" xfId="646" xr:uid="{00000000-0005-0000-0000-0000E5010000}"/>
    <cellStyle name="20% - Accent4 29" xfId="647" xr:uid="{00000000-0005-0000-0000-0000E6010000}"/>
    <cellStyle name="20% - Accent4 3" xfId="648" xr:uid="{00000000-0005-0000-0000-0000E7010000}"/>
    <cellStyle name="20% - Accent4 3 2" xfId="649" xr:uid="{00000000-0005-0000-0000-0000E8010000}"/>
    <cellStyle name="20% - Accent4 3 2 2" xfId="650" xr:uid="{00000000-0005-0000-0000-0000E9010000}"/>
    <cellStyle name="20% - Accent4 3 3" xfId="651" xr:uid="{00000000-0005-0000-0000-0000EA010000}"/>
    <cellStyle name="20% - Accent4 3_Sheet1" xfId="652" xr:uid="{00000000-0005-0000-0000-0000EB010000}"/>
    <cellStyle name="20% - Accent4 30" xfId="653" xr:uid="{00000000-0005-0000-0000-0000EC010000}"/>
    <cellStyle name="20% - Accent4 31" xfId="654" xr:uid="{00000000-0005-0000-0000-0000ED010000}"/>
    <cellStyle name="20% - Accent4 32" xfId="655" xr:uid="{00000000-0005-0000-0000-0000EE010000}"/>
    <cellStyle name="20% - Accent4 33" xfId="656" xr:uid="{00000000-0005-0000-0000-0000EF010000}"/>
    <cellStyle name="20% - Accent4 34" xfId="657" xr:uid="{00000000-0005-0000-0000-0000F0010000}"/>
    <cellStyle name="20% - Accent4 35" xfId="658" xr:uid="{00000000-0005-0000-0000-0000F1010000}"/>
    <cellStyle name="20% - Accent4 36" xfId="659" xr:uid="{00000000-0005-0000-0000-0000F2010000}"/>
    <cellStyle name="20% - Accent4 37" xfId="660" xr:uid="{00000000-0005-0000-0000-0000F3010000}"/>
    <cellStyle name="20% - Accent4 38" xfId="661" xr:uid="{00000000-0005-0000-0000-0000F4010000}"/>
    <cellStyle name="20% - Accent4 39" xfId="662" xr:uid="{00000000-0005-0000-0000-0000F5010000}"/>
    <cellStyle name="20% - Accent4 4" xfId="663" xr:uid="{00000000-0005-0000-0000-0000F6010000}"/>
    <cellStyle name="20% - Accent4 4 2" xfId="664" xr:uid="{00000000-0005-0000-0000-0000F7010000}"/>
    <cellStyle name="20% - Accent4 4 2 2" xfId="665" xr:uid="{00000000-0005-0000-0000-0000F8010000}"/>
    <cellStyle name="20% - Accent4 4 3" xfId="666" xr:uid="{00000000-0005-0000-0000-0000F9010000}"/>
    <cellStyle name="20% - Accent4 4_Sheet1" xfId="667" xr:uid="{00000000-0005-0000-0000-0000FA010000}"/>
    <cellStyle name="20% - Accent4 40" xfId="668" xr:uid="{00000000-0005-0000-0000-0000FB010000}"/>
    <cellStyle name="20% - Accent4 41" xfId="669" xr:uid="{00000000-0005-0000-0000-0000FC010000}"/>
    <cellStyle name="20% - Accent4 42" xfId="670" xr:uid="{00000000-0005-0000-0000-0000FD010000}"/>
    <cellStyle name="20% - Accent4 43" xfId="671" xr:uid="{00000000-0005-0000-0000-0000FE010000}"/>
    <cellStyle name="20% - Accent4 44" xfId="672" xr:uid="{00000000-0005-0000-0000-0000FF010000}"/>
    <cellStyle name="20% - Accent4 45" xfId="673" xr:uid="{00000000-0005-0000-0000-000000020000}"/>
    <cellStyle name="20% - Accent4 46" xfId="674" xr:uid="{00000000-0005-0000-0000-000001020000}"/>
    <cellStyle name="20% - Accent4 47" xfId="675" xr:uid="{00000000-0005-0000-0000-000002020000}"/>
    <cellStyle name="20% - Accent4 48" xfId="676" xr:uid="{00000000-0005-0000-0000-000003020000}"/>
    <cellStyle name="20% - Accent4 49" xfId="677" xr:uid="{00000000-0005-0000-0000-000004020000}"/>
    <cellStyle name="20% - Accent4 5" xfId="678" xr:uid="{00000000-0005-0000-0000-000005020000}"/>
    <cellStyle name="20% - Accent4 5 2" xfId="679" xr:uid="{00000000-0005-0000-0000-000006020000}"/>
    <cellStyle name="20% - Accent4 5 2 2" xfId="680" xr:uid="{00000000-0005-0000-0000-000007020000}"/>
    <cellStyle name="20% - Accent4 5 3" xfId="681" xr:uid="{00000000-0005-0000-0000-000008020000}"/>
    <cellStyle name="20% - Accent4 5_Sheet1" xfId="682" xr:uid="{00000000-0005-0000-0000-000009020000}"/>
    <cellStyle name="20% - Accent4 50" xfId="683" xr:uid="{00000000-0005-0000-0000-00000A020000}"/>
    <cellStyle name="20% - Accent4 51" xfId="684" xr:uid="{00000000-0005-0000-0000-00000B020000}"/>
    <cellStyle name="20% - Accent4 52" xfId="685" xr:uid="{00000000-0005-0000-0000-00000C020000}"/>
    <cellStyle name="20% - Accent4 53" xfId="686" xr:uid="{00000000-0005-0000-0000-00000D020000}"/>
    <cellStyle name="20% - Accent4 54" xfId="687" xr:uid="{00000000-0005-0000-0000-00000E020000}"/>
    <cellStyle name="20% - Accent4 55" xfId="688" xr:uid="{00000000-0005-0000-0000-00000F020000}"/>
    <cellStyle name="20% - Accent4 56" xfId="689" xr:uid="{00000000-0005-0000-0000-000010020000}"/>
    <cellStyle name="20% - Accent4 57" xfId="690" xr:uid="{00000000-0005-0000-0000-000011020000}"/>
    <cellStyle name="20% - Accent4 58" xfId="691" xr:uid="{00000000-0005-0000-0000-000012020000}"/>
    <cellStyle name="20% - Accent4 59" xfId="692" xr:uid="{00000000-0005-0000-0000-000013020000}"/>
    <cellStyle name="20% - Accent4 6" xfId="693" xr:uid="{00000000-0005-0000-0000-000014020000}"/>
    <cellStyle name="20% - Accent4 6 2" xfId="694" xr:uid="{00000000-0005-0000-0000-000015020000}"/>
    <cellStyle name="20% - Accent4 6 2 2" xfId="695" xr:uid="{00000000-0005-0000-0000-000016020000}"/>
    <cellStyle name="20% - Accent4 6 3" xfId="696" xr:uid="{00000000-0005-0000-0000-000017020000}"/>
    <cellStyle name="20% - Accent4 6_Sheet1" xfId="697" xr:uid="{00000000-0005-0000-0000-000018020000}"/>
    <cellStyle name="20% - Accent4 60" xfId="698" xr:uid="{00000000-0005-0000-0000-000019020000}"/>
    <cellStyle name="20% - Accent4 61" xfId="699" xr:uid="{00000000-0005-0000-0000-00001A020000}"/>
    <cellStyle name="20% - Accent4 62" xfId="700" xr:uid="{00000000-0005-0000-0000-00001B020000}"/>
    <cellStyle name="20% - Accent4 63" xfId="701" xr:uid="{00000000-0005-0000-0000-00001C020000}"/>
    <cellStyle name="20% - Accent4 64" xfId="702" xr:uid="{00000000-0005-0000-0000-00001D020000}"/>
    <cellStyle name="20% - Accent4 65" xfId="703" xr:uid="{00000000-0005-0000-0000-00001E020000}"/>
    <cellStyle name="20% - Accent4 66" xfId="704" xr:uid="{00000000-0005-0000-0000-00001F020000}"/>
    <cellStyle name="20% - Accent4 67" xfId="705" xr:uid="{00000000-0005-0000-0000-000020020000}"/>
    <cellStyle name="20% - Accent4 68" xfId="706" xr:uid="{00000000-0005-0000-0000-000021020000}"/>
    <cellStyle name="20% - Accent4 69" xfId="707" xr:uid="{00000000-0005-0000-0000-000022020000}"/>
    <cellStyle name="20% - Accent4 7" xfId="708" xr:uid="{00000000-0005-0000-0000-000023020000}"/>
    <cellStyle name="20% - Accent4 7 2" xfId="709" xr:uid="{00000000-0005-0000-0000-000024020000}"/>
    <cellStyle name="20% - Accent4 7 2 2" xfId="710" xr:uid="{00000000-0005-0000-0000-000025020000}"/>
    <cellStyle name="20% - Accent4 7 3" xfId="711" xr:uid="{00000000-0005-0000-0000-000026020000}"/>
    <cellStyle name="20% - Accent4 7_Sheet1" xfId="712" xr:uid="{00000000-0005-0000-0000-000027020000}"/>
    <cellStyle name="20% - Accent4 70" xfId="713" xr:uid="{00000000-0005-0000-0000-000028020000}"/>
    <cellStyle name="20% - Accent4 71" xfId="714" xr:uid="{00000000-0005-0000-0000-000029020000}"/>
    <cellStyle name="20% - Accent4 8" xfId="715" xr:uid="{00000000-0005-0000-0000-00002A020000}"/>
    <cellStyle name="20% - Accent4 8 2" xfId="716" xr:uid="{00000000-0005-0000-0000-00002B020000}"/>
    <cellStyle name="20% - Accent4 8 2 2" xfId="717" xr:uid="{00000000-0005-0000-0000-00002C020000}"/>
    <cellStyle name="20% - Accent4 8 3" xfId="718" xr:uid="{00000000-0005-0000-0000-00002D020000}"/>
    <cellStyle name="20% - Accent4 8_Sheet1" xfId="719" xr:uid="{00000000-0005-0000-0000-00002E020000}"/>
    <cellStyle name="20% - Accent4 9" xfId="720" xr:uid="{00000000-0005-0000-0000-00002F020000}"/>
    <cellStyle name="20% - Accent4 9 2" xfId="721" xr:uid="{00000000-0005-0000-0000-000030020000}"/>
    <cellStyle name="20% - Accent4 9 2 2" xfId="722" xr:uid="{00000000-0005-0000-0000-000031020000}"/>
    <cellStyle name="20% - Accent4 9 3" xfId="723" xr:uid="{00000000-0005-0000-0000-000032020000}"/>
    <cellStyle name="20% - Accent4 9_Sheet1" xfId="724" xr:uid="{00000000-0005-0000-0000-000033020000}"/>
    <cellStyle name="20% - Accent5 10" xfId="725" xr:uid="{00000000-0005-0000-0000-000035020000}"/>
    <cellStyle name="20% - Accent5 10 2" xfId="726" xr:uid="{00000000-0005-0000-0000-000036020000}"/>
    <cellStyle name="20% - Accent5 10 2 2" xfId="727" xr:uid="{00000000-0005-0000-0000-000037020000}"/>
    <cellStyle name="20% - Accent5 10 3" xfId="728" xr:uid="{00000000-0005-0000-0000-000038020000}"/>
    <cellStyle name="20% - Accent5 10_Sheet1" xfId="729" xr:uid="{00000000-0005-0000-0000-000039020000}"/>
    <cellStyle name="20% - Accent5 11" xfId="730" xr:uid="{00000000-0005-0000-0000-00003A020000}"/>
    <cellStyle name="20% - Accent5 11 2" xfId="731" xr:uid="{00000000-0005-0000-0000-00003B020000}"/>
    <cellStyle name="20% - Accent5 11 2 2" xfId="732" xr:uid="{00000000-0005-0000-0000-00003C020000}"/>
    <cellStyle name="20% - Accent5 11 3" xfId="733" xr:uid="{00000000-0005-0000-0000-00003D020000}"/>
    <cellStyle name="20% - Accent5 11_Sheet1" xfId="734" xr:uid="{00000000-0005-0000-0000-00003E020000}"/>
    <cellStyle name="20% - Accent5 12" xfId="735" xr:uid="{00000000-0005-0000-0000-00003F020000}"/>
    <cellStyle name="20% - Accent5 12 2" xfId="736" xr:uid="{00000000-0005-0000-0000-000040020000}"/>
    <cellStyle name="20% - Accent5 12 2 2" xfId="737" xr:uid="{00000000-0005-0000-0000-000041020000}"/>
    <cellStyle name="20% - Accent5 12 3" xfId="738" xr:uid="{00000000-0005-0000-0000-000042020000}"/>
    <cellStyle name="20% - Accent5 12_Sheet1" xfId="739" xr:uid="{00000000-0005-0000-0000-000043020000}"/>
    <cellStyle name="20% - Accent5 13" xfId="740" xr:uid="{00000000-0005-0000-0000-000044020000}"/>
    <cellStyle name="20% - Accent5 13 2" xfId="741" xr:uid="{00000000-0005-0000-0000-000045020000}"/>
    <cellStyle name="20% - Accent5 13 2 2" xfId="742" xr:uid="{00000000-0005-0000-0000-000046020000}"/>
    <cellStyle name="20% - Accent5 13 3" xfId="743" xr:uid="{00000000-0005-0000-0000-000047020000}"/>
    <cellStyle name="20% - Accent5 13_Sheet1" xfId="744" xr:uid="{00000000-0005-0000-0000-000048020000}"/>
    <cellStyle name="20% - Accent5 14" xfId="745" xr:uid="{00000000-0005-0000-0000-000049020000}"/>
    <cellStyle name="20% - Accent5 14 2" xfId="746" xr:uid="{00000000-0005-0000-0000-00004A020000}"/>
    <cellStyle name="20% - Accent5 14 2 2" xfId="747" xr:uid="{00000000-0005-0000-0000-00004B020000}"/>
    <cellStyle name="20% - Accent5 14 3" xfId="748" xr:uid="{00000000-0005-0000-0000-00004C020000}"/>
    <cellStyle name="20% - Accent5 14_Sheet1" xfId="749" xr:uid="{00000000-0005-0000-0000-00004D020000}"/>
    <cellStyle name="20% - Accent5 15" xfId="750" xr:uid="{00000000-0005-0000-0000-00004E020000}"/>
    <cellStyle name="20% - Accent5 15 2" xfId="751" xr:uid="{00000000-0005-0000-0000-00004F020000}"/>
    <cellStyle name="20% - Accent5 15 2 2" xfId="752" xr:uid="{00000000-0005-0000-0000-000050020000}"/>
    <cellStyle name="20% - Accent5 15 3" xfId="753" xr:uid="{00000000-0005-0000-0000-000051020000}"/>
    <cellStyle name="20% - Accent5 15_Sheet1" xfId="754" xr:uid="{00000000-0005-0000-0000-000052020000}"/>
    <cellStyle name="20% - Accent5 16" xfId="755" xr:uid="{00000000-0005-0000-0000-000053020000}"/>
    <cellStyle name="20% - Accent5 16 2" xfId="756" xr:uid="{00000000-0005-0000-0000-000054020000}"/>
    <cellStyle name="20% - Accent5 16 2 2" xfId="757" xr:uid="{00000000-0005-0000-0000-000055020000}"/>
    <cellStyle name="20% - Accent5 16 3" xfId="758" xr:uid="{00000000-0005-0000-0000-000056020000}"/>
    <cellStyle name="20% - Accent5 16_Sheet1" xfId="759" xr:uid="{00000000-0005-0000-0000-000057020000}"/>
    <cellStyle name="20% - Accent5 17" xfId="760" xr:uid="{00000000-0005-0000-0000-000058020000}"/>
    <cellStyle name="20% - Accent5 17 2" xfId="761" xr:uid="{00000000-0005-0000-0000-000059020000}"/>
    <cellStyle name="20% - Accent5 17 2 2" xfId="762" xr:uid="{00000000-0005-0000-0000-00005A020000}"/>
    <cellStyle name="20% - Accent5 17 3" xfId="763" xr:uid="{00000000-0005-0000-0000-00005B020000}"/>
    <cellStyle name="20% - Accent5 17_Sheet1" xfId="764" xr:uid="{00000000-0005-0000-0000-00005C020000}"/>
    <cellStyle name="20% - Accent5 18" xfId="765" xr:uid="{00000000-0005-0000-0000-00005D020000}"/>
    <cellStyle name="20% - Accent5 18 2" xfId="766" xr:uid="{00000000-0005-0000-0000-00005E020000}"/>
    <cellStyle name="20% - Accent5 18 2 2" xfId="767" xr:uid="{00000000-0005-0000-0000-00005F020000}"/>
    <cellStyle name="20% - Accent5 18 3" xfId="768" xr:uid="{00000000-0005-0000-0000-000060020000}"/>
    <cellStyle name="20% - Accent5 18_Sheet1" xfId="769" xr:uid="{00000000-0005-0000-0000-000061020000}"/>
    <cellStyle name="20% - Accent5 19" xfId="770" xr:uid="{00000000-0005-0000-0000-000062020000}"/>
    <cellStyle name="20% - Accent5 2" xfId="771" xr:uid="{00000000-0005-0000-0000-000063020000}"/>
    <cellStyle name="20% - Accent5 2 2" xfId="772" xr:uid="{00000000-0005-0000-0000-000064020000}"/>
    <cellStyle name="20% - Accent5 2 2 2" xfId="773" xr:uid="{00000000-0005-0000-0000-000065020000}"/>
    <cellStyle name="20% - Accent5 2 3" xfId="774" xr:uid="{00000000-0005-0000-0000-000066020000}"/>
    <cellStyle name="20% - Accent5 2 3 2" xfId="775" xr:uid="{00000000-0005-0000-0000-000067020000}"/>
    <cellStyle name="20% - Accent5 2 4" xfId="776" xr:uid="{00000000-0005-0000-0000-000068020000}"/>
    <cellStyle name="20% - Accent5 2_Sheet1" xfId="777" xr:uid="{00000000-0005-0000-0000-000069020000}"/>
    <cellStyle name="20% - Accent5 20" xfId="778" xr:uid="{00000000-0005-0000-0000-00006A020000}"/>
    <cellStyle name="20% - Accent5 21" xfId="779" xr:uid="{00000000-0005-0000-0000-00006B020000}"/>
    <cellStyle name="20% - Accent5 22" xfId="780" xr:uid="{00000000-0005-0000-0000-00006C020000}"/>
    <cellStyle name="20% - Accent5 23" xfId="781" xr:uid="{00000000-0005-0000-0000-00006D020000}"/>
    <cellStyle name="20% - Accent5 24" xfId="782" xr:uid="{00000000-0005-0000-0000-00006E020000}"/>
    <cellStyle name="20% - Accent5 25" xfId="783" xr:uid="{00000000-0005-0000-0000-00006F020000}"/>
    <cellStyle name="20% - Accent5 26" xfId="784" xr:uid="{00000000-0005-0000-0000-000070020000}"/>
    <cellStyle name="20% - Accent5 27" xfId="785" xr:uid="{00000000-0005-0000-0000-000071020000}"/>
    <cellStyle name="20% - Accent5 28" xfId="786" xr:uid="{00000000-0005-0000-0000-000072020000}"/>
    <cellStyle name="20% - Accent5 29" xfId="787" xr:uid="{00000000-0005-0000-0000-000073020000}"/>
    <cellStyle name="20% - Accent5 3" xfId="788" xr:uid="{00000000-0005-0000-0000-000074020000}"/>
    <cellStyle name="20% - Accent5 3 2" xfId="789" xr:uid="{00000000-0005-0000-0000-000075020000}"/>
    <cellStyle name="20% - Accent5 3 2 2" xfId="790" xr:uid="{00000000-0005-0000-0000-000076020000}"/>
    <cellStyle name="20% - Accent5 3 3" xfId="791" xr:uid="{00000000-0005-0000-0000-000077020000}"/>
    <cellStyle name="20% - Accent5 3_Sheet1" xfId="792" xr:uid="{00000000-0005-0000-0000-000078020000}"/>
    <cellStyle name="20% - Accent5 30" xfId="793" xr:uid="{00000000-0005-0000-0000-000079020000}"/>
    <cellStyle name="20% - Accent5 31" xfId="794" xr:uid="{00000000-0005-0000-0000-00007A020000}"/>
    <cellStyle name="20% - Accent5 32" xfId="795" xr:uid="{00000000-0005-0000-0000-00007B020000}"/>
    <cellStyle name="20% - Accent5 33" xfId="796" xr:uid="{00000000-0005-0000-0000-00007C020000}"/>
    <cellStyle name="20% - Accent5 34" xfId="797" xr:uid="{00000000-0005-0000-0000-00007D020000}"/>
    <cellStyle name="20% - Accent5 35" xfId="798" xr:uid="{00000000-0005-0000-0000-00007E020000}"/>
    <cellStyle name="20% - Accent5 36" xfId="799" xr:uid="{00000000-0005-0000-0000-00007F020000}"/>
    <cellStyle name="20% - Accent5 37" xfId="800" xr:uid="{00000000-0005-0000-0000-000080020000}"/>
    <cellStyle name="20% - Accent5 38" xfId="801" xr:uid="{00000000-0005-0000-0000-000081020000}"/>
    <cellStyle name="20% - Accent5 39" xfId="802" xr:uid="{00000000-0005-0000-0000-000082020000}"/>
    <cellStyle name="20% - Accent5 4" xfId="803" xr:uid="{00000000-0005-0000-0000-000083020000}"/>
    <cellStyle name="20% - Accent5 4 2" xfId="804" xr:uid="{00000000-0005-0000-0000-000084020000}"/>
    <cellStyle name="20% - Accent5 4 2 2" xfId="805" xr:uid="{00000000-0005-0000-0000-000085020000}"/>
    <cellStyle name="20% - Accent5 4 3" xfId="806" xr:uid="{00000000-0005-0000-0000-000086020000}"/>
    <cellStyle name="20% - Accent5 4_Sheet1" xfId="807" xr:uid="{00000000-0005-0000-0000-000087020000}"/>
    <cellStyle name="20% - Accent5 40" xfId="808" xr:uid="{00000000-0005-0000-0000-000088020000}"/>
    <cellStyle name="20% - Accent5 41" xfId="809" xr:uid="{00000000-0005-0000-0000-000089020000}"/>
    <cellStyle name="20% - Accent5 42" xfId="810" xr:uid="{00000000-0005-0000-0000-00008A020000}"/>
    <cellStyle name="20% - Accent5 43" xfId="811" xr:uid="{00000000-0005-0000-0000-00008B020000}"/>
    <cellStyle name="20% - Accent5 44" xfId="812" xr:uid="{00000000-0005-0000-0000-00008C020000}"/>
    <cellStyle name="20% - Accent5 45" xfId="813" xr:uid="{00000000-0005-0000-0000-00008D020000}"/>
    <cellStyle name="20% - Accent5 46" xfId="814" xr:uid="{00000000-0005-0000-0000-00008E020000}"/>
    <cellStyle name="20% - Accent5 47" xfId="815" xr:uid="{00000000-0005-0000-0000-00008F020000}"/>
    <cellStyle name="20% - Accent5 48" xfId="816" xr:uid="{00000000-0005-0000-0000-000090020000}"/>
    <cellStyle name="20% - Accent5 49" xfId="817" xr:uid="{00000000-0005-0000-0000-000091020000}"/>
    <cellStyle name="20% - Accent5 5" xfId="818" xr:uid="{00000000-0005-0000-0000-000092020000}"/>
    <cellStyle name="20% - Accent5 5 2" xfId="819" xr:uid="{00000000-0005-0000-0000-000093020000}"/>
    <cellStyle name="20% - Accent5 5 2 2" xfId="820" xr:uid="{00000000-0005-0000-0000-000094020000}"/>
    <cellStyle name="20% - Accent5 5 3" xfId="821" xr:uid="{00000000-0005-0000-0000-000095020000}"/>
    <cellStyle name="20% - Accent5 5_Sheet1" xfId="822" xr:uid="{00000000-0005-0000-0000-000096020000}"/>
    <cellStyle name="20% - Accent5 50" xfId="823" xr:uid="{00000000-0005-0000-0000-000097020000}"/>
    <cellStyle name="20% - Accent5 51" xfId="824" xr:uid="{00000000-0005-0000-0000-000098020000}"/>
    <cellStyle name="20% - Accent5 52" xfId="825" xr:uid="{00000000-0005-0000-0000-000099020000}"/>
    <cellStyle name="20% - Accent5 53" xfId="826" xr:uid="{00000000-0005-0000-0000-00009A020000}"/>
    <cellStyle name="20% - Accent5 54" xfId="827" xr:uid="{00000000-0005-0000-0000-00009B020000}"/>
    <cellStyle name="20% - Accent5 55" xfId="828" xr:uid="{00000000-0005-0000-0000-00009C020000}"/>
    <cellStyle name="20% - Accent5 56" xfId="829" xr:uid="{00000000-0005-0000-0000-00009D020000}"/>
    <cellStyle name="20% - Accent5 57" xfId="830" xr:uid="{00000000-0005-0000-0000-00009E020000}"/>
    <cellStyle name="20% - Accent5 58" xfId="831" xr:uid="{00000000-0005-0000-0000-00009F020000}"/>
    <cellStyle name="20% - Accent5 59" xfId="832" xr:uid="{00000000-0005-0000-0000-0000A0020000}"/>
    <cellStyle name="20% - Accent5 6" xfId="833" xr:uid="{00000000-0005-0000-0000-0000A1020000}"/>
    <cellStyle name="20% - Accent5 6 2" xfId="834" xr:uid="{00000000-0005-0000-0000-0000A2020000}"/>
    <cellStyle name="20% - Accent5 6 2 2" xfId="835" xr:uid="{00000000-0005-0000-0000-0000A3020000}"/>
    <cellStyle name="20% - Accent5 6 3" xfId="836" xr:uid="{00000000-0005-0000-0000-0000A4020000}"/>
    <cellStyle name="20% - Accent5 6_Sheet1" xfId="837" xr:uid="{00000000-0005-0000-0000-0000A5020000}"/>
    <cellStyle name="20% - Accent5 60" xfId="838" xr:uid="{00000000-0005-0000-0000-0000A6020000}"/>
    <cellStyle name="20% - Accent5 61" xfId="839" xr:uid="{00000000-0005-0000-0000-0000A7020000}"/>
    <cellStyle name="20% - Accent5 62" xfId="840" xr:uid="{00000000-0005-0000-0000-0000A8020000}"/>
    <cellStyle name="20% - Accent5 63" xfId="841" xr:uid="{00000000-0005-0000-0000-0000A9020000}"/>
    <cellStyle name="20% - Accent5 64" xfId="842" xr:uid="{00000000-0005-0000-0000-0000AA020000}"/>
    <cellStyle name="20% - Accent5 65" xfId="843" xr:uid="{00000000-0005-0000-0000-0000AB020000}"/>
    <cellStyle name="20% - Accent5 66" xfId="844" xr:uid="{00000000-0005-0000-0000-0000AC020000}"/>
    <cellStyle name="20% - Accent5 67" xfId="845" xr:uid="{00000000-0005-0000-0000-0000AD020000}"/>
    <cellStyle name="20% - Accent5 68" xfId="846" xr:uid="{00000000-0005-0000-0000-0000AE020000}"/>
    <cellStyle name="20% - Accent5 69" xfId="847" xr:uid="{00000000-0005-0000-0000-0000AF020000}"/>
    <cellStyle name="20% - Accent5 7" xfId="848" xr:uid="{00000000-0005-0000-0000-0000B0020000}"/>
    <cellStyle name="20% - Accent5 7 2" xfId="849" xr:uid="{00000000-0005-0000-0000-0000B1020000}"/>
    <cellStyle name="20% - Accent5 7 2 2" xfId="850" xr:uid="{00000000-0005-0000-0000-0000B2020000}"/>
    <cellStyle name="20% - Accent5 7 3" xfId="851" xr:uid="{00000000-0005-0000-0000-0000B3020000}"/>
    <cellStyle name="20% - Accent5 7_Sheet1" xfId="852" xr:uid="{00000000-0005-0000-0000-0000B4020000}"/>
    <cellStyle name="20% - Accent5 70" xfId="853" xr:uid="{00000000-0005-0000-0000-0000B5020000}"/>
    <cellStyle name="20% - Accent5 71" xfId="854" xr:uid="{00000000-0005-0000-0000-0000B6020000}"/>
    <cellStyle name="20% - Accent5 8" xfId="855" xr:uid="{00000000-0005-0000-0000-0000B7020000}"/>
    <cellStyle name="20% - Accent5 8 2" xfId="856" xr:uid="{00000000-0005-0000-0000-0000B8020000}"/>
    <cellStyle name="20% - Accent5 8 2 2" xfId="857" xr:uid="{00000000-0005-0000-0000-0000B9020000}"/>
    <cellStyle name="20% - Accent5 8 3" xfId="858" xr:uid="{00000000-0005-0000-0000-0000BA020000}"/>
    <cellStyle name="20% - Accent5 8_Sheet1" xfId="859" xr:uid="{00000000-0005-0000-0000-0000BB020000}"/>
    <cellStyle name="20% - Accent5 9" xfId="860" xr:uid="{00000000-0005-0000-0000-0000BC020000}"/>
    <cellStyle name="20% - Accent5 9 2" xfId="861" xr:uid="{00000000-0005-0000-0000-0000BD020000}"/>
    <cellStyle name="20% - Accent5 9 2 2" xfId="862" xr:uid="{00000000-0005-0000-0000-0000BE020000}"/>
    <cellStyle name="20% - Accent5 9 3" xfId="863" xr:uid="{00000000-0005-0000-0000-0000BF020000}"/>
    <cellStyle name="20% - Accent5 9_Sheet1" xfId="864" xr:uid="{00000000-0005-0000-0000-0000C0020000}"/>
    <cellStyle name="20% - Accent6 10" xfId="865" xr:uid="{00000000-0005-0000-0000-0000C2020000}"/>
    <cellStyle name="20% - Accent6 10 2" xfId="866" xr:uid="{00000000-0005-0000-0000-0000C3020000}"/>
    <cellStyle name="20% - Accent6 10 2 2" xfId="867" xr:uid="{00000000-0005-0000-0000-0000C4020000}"/>
    <cellStyle name="20% - Accent6 10 3" xfId="868" xr:uid="{00000000-0005-0000-0000-0000C5020000}"/>
    <cellStyle name="20% - Accent6 10_Sheet1" xfId="869" xr:uid="{00000000-0005-0000-0000-0000C6020000}"/>
    <cellStyle name="20% - Accent6 11" xfId="870" xr:uid="{00000000-0005-0000-0000-0000C7020000}"/>
    <cellStyle name="20% - Accent6 11 2" xfId="871" xr:uid="{00000000-0005-0000-0000-0000C8020000}"/>
    <cellStyle name="20% - Accent6 11 2 2" xfId="872" xr:uid="{00000000-0005-0000-0000-0000C9020000}"/>
    <cellStyle name="20% - Accent6 11 3" xfId="873" xr:uid="{00000000-0005-0000-0000-0000CA020000}"/>
    <cellStyle name="20% - Accent6 11_Sheet1" xfId="874" xr:uid="{00000000-0005-0000-0000-0000CB020000}"/>
    <cellStyle name="20% - Accent6 12" xfId="875" xr:uid="{00000000-0005-0000-0000-0000CC020000}"/>
    <cellStyle name="20% - Accent6 12 2" xfId="876" xr:uid="{00000000-0005-0000-0000-0000CD020000}"/>
    <cellStyle name="20% - Accent6 12 2 2" xfId="877" xr:uid="{00000000-0005-0000-0000-0000CE020000}"/>
    <cellStyle name="20% - Accent6 12 3" xfId="878" xr:uid="{00000000-0005-0000-0000-0000CF020000}"/>
    <cellStyle name="20% - Accent6 12_Sheet1" xfId="879" xr:uid="{00000000-0005-0000-0000-0000D0020000}"/>
    <cellStyle name="20% - Accent6 13" xfId="880" xr:uid="{00000000-0005-0000-0000-0000D1020000}"/>
    <cellStyle name="20% - Accent6 13 2" xfId="881" xr:uid="{00000000-0005-0000-0000-0000D2020000}"/>
    <cellStyle name="20% - Accent6 13 2 2" xfId="882" xr:uid="{00000000-0005-0000-0000-0000D3020000}"/>
    <cellStyle name="20% - Accent6 13 3" xfId="883" xr:uid="{00000000-0005-0000-0000-0000D4020000}"/>
    <cellStyle name="20% - Accent6 13_Sheet1" xfId="884" xr:uid="{00000000-0005-0000-0000-0000D5020000}"/>
    <cellStyle name="20% - Accent6 14" xfId="885" xr:uid="{00000000-0005-0000-0000-0000D6020000}"/>
    <cellStyle name="20% - Accent6 14 2" xfId="886" xr:uid="{00000000-0005-0000-0000-0000D7020000}"/>
    <cellStyle name="20% - Accent6 14 2 2" xfId="887" xr:uid="{00000000-0005-0000-0000-0000D8020000}"/>
    <cellStyle name="20% - Accent6 14 3" xfId="888" xr:uid="{00000000-0005-0000-0000-0000D9020000}"/>
    <cellStyle name="20% - Accent6 14_Sheet1" xfId="889" xr:uid="{00000000-0005-0000-0000-0000DA020000}"/>
    <cellStyle name="20% - Accent6 15" xfId="890" xr:uid="{00000000-0005-0000-0000-0000DB020000}"/>
    <cellStyle name="20% - Accent6 15 2" xfId="891" xr:uid="{00000000-0005-0000-0000-0000DC020000}"/>
    <cellStyle name="20% - Accent6 15 2 2" xfId="892" xr:uid="{00000000-0005-0000-0000-0000DD020000}"/>
    <cellStyle name="20% - Accent6 15 3" xfId="893" xr:uid="{00000000-0005-0000-0000-0000DE020000}"/>
    <cellStyle name="20% - Accent6 15_Sheet1" xfId="894" xr:uid="{00000000-0005-0000-0000-0000DF020000}"/>
    <cellStyle name="20% - Accent6 16" xfId="895" xr:uid="{00000000-0005-0000-0000-0000E0020000}"/>
    <cellStyle name="20% - Accent6 16 2" xfId="896" xr:uid="{00000000-0005-0000-0000-0000E1020000}"/>
    <cellStyle name="20% - Accent6 16 2 2" xfId="897" xr:uid="{00000000-0005-0000-0000-0000E2020000}"/>
    <cellStyle name="20% - Accent6 16 3" xfId="898" xr:uid="{00000000-0005-0000-0000-0000E3020000}"/>
    <cellStyle name="20% - Accent6 16_Sheet1" xfId="899" xr:uid="{00000000-0005-0000-0000-0000E4020000}"/>
    <cellStyle name="20% - Accent6 17" xfId="900" xr:uid="{00000000-0005-0000-0000-0000E5020000}"/>
    <cellStyle name="20% - Accent6 17 2" xfId="901" xr:uid="{00000000-0005-0000-0000-0000E6020000}"/>
    <cellStyle name="20% - Accent6 17 2 2" xfId="902" xr:uid="{00000000-0005-0000-0000-0000E7020000}"/>
    <cellStyle name="20% - Accent6 17 3" xfId="903" xr:uid="{00000000-0005-0000-0000-0000E8020000}"/>
    <cellStyle name="20% - Accent6 17_Sheet1" xfId="904" xr:uid="{00000000-0005-0000-0000-0000E9020000}"/>
    <cellStyle name="20% - Accent6 18" xfId="905" xr:uid="{00000000-0005-0000-0000-0000EA020000}"/>
    <cellStyle name="20% - Accent6 18 2" xfId="906" xr:uid="{00000000-0005-0000-0000-0000EB020000}"/>
    <cellStyle name="20% - Accent6 18 2 2" xfId="907" xr:uid="{00000000-0005-0000-0000-0000EC020000}"/>
    <cellStyle name="20% - Accent6 18 3" xfId="908" xr:uid="{00000000-0005-0000-0000-0000ED020000}"/>
    <cellStyle name="20% - Accent6 18_Sheet1" xfId="909" xr:uid="{00000000-0005-0000-0000-0000EE020000}"/>
    <cellStyle name="20% - Accent6 19" xfId="910" xr:uid="{00000000-0005-0000-0000-0000EF020000}"/>
    <cellStyle name="20% - Accent6 2" xfId="911" xr:uid="{00000000-0005-0000-0000-0000F0020000}"/>
    <cellStyle name="20% - Accent6 2 2" xfId="912" xr:uid="{00000000-0005-0000-0000-0000F1020000}"/>
    <cellStyle name="20% - Accent6 2 2 2" xfId="913" xr:uid="{00000000-0005-0000-0000-0000F2020000}"/>
    <cellStyle name="20% - Accent6 2 3" xfId="914" xr:uid="{00000000-0005-0000-0000-0000F3020000}"/>
    <cellStyle name="20% - Accent6 2 3 2" xfId="915" xr:uid="{00000000-0005-0000-0000-0000F4020000}"/>
    <cellStyle name="20% - Accent6 2 4" xfId="916" xr:uid="{00000000-0005-0000-0000-0000F5020000}"/>
    <cellStyle name="20% - Accent6 2_Sheet1" xfId="917" xr:uid="{00000000-0005-0000-0000-0000F6020000}"/>
    <cellStyle name="20% - Accent6 20" xfId="918" xr:uid="{00000000-0005-0000-0000-0000F7020000}"/>
    <cellStyle name="20% - Accent6 21" xfId="919" xr:uid="{00000000-0005-0000-0000-0000F8020000}"/>
    <cellStyle name="20% - Accent6 22" xfId="920" xr:uid="{00000000-0005-0000-0000-0000F9020000}"/>
    <cellStyle name="20% - Accent6 23" xfId="921" xr:uid="{00000000-0005-0000-0000-0000FA020000}"/>
    <cellStyle name="20% - Accent6 24" xfId="922" xr:uid="{00000000-0005-0000-0000-0000FB020000}"/>
    <cellStyle name="20% - Accent6 25" xfId="923" xr:uid="{00000000-0005-0000-0000-0000FC020000}"/>
    <cellStyle name="20% - Accent6 26" xfId="924" xr:uid="{00000000-0005-0000-0000-0000FD020000}"/>
    <cellStyle name="20% - Accent6 27" xfId="925" xr:uid="{00000000-0005-0000-0000-0000FE020000}"/>
    <cellStyle name="20% - Accent6 28" xfId="926" xr:uid="{00000000-0005-0000-0000-0000FF020000}"/>
    <cellStyle name="20% - Accent6 29" xfId="927" xr:uid="{00000000-0005-0000-0000-000000030000}"/>
    <cellStyle name="20% - Accent6 3" xfId="928" xr:uid="{00000000-0005-0000-0000-000001030000}"/>
    <cellStyle name="20% - Accent6 3 2" xfId="929" xr:uid="{00000000-0005-0000-0000-000002030000}"/>
    <cellStyle name="20% - Accent6 3 2 2" xfId="930" xr:uid="{00000000-0005-0000-0000-000003030000}"/>
    <cellStyle name="20% - Accent6 3 3" xfId="931" xr:uid="{00000000-0005-0000-0000-000004030000}"/>
    <cellStyle name="20% - Accent6 3_Sheet1" xfId="932" xr:uid="{00000000-0005-0000-0000-000005030000}"/>
    <cellStyle name="20% - Accent6 30" xfId="933" xr:uid="{00000000-0005-0000-0000-000006030000}"/>
    <cellStyle name="20% - Accent6 31" xfId="934" xr:uid="{00000000-0005-0000-0000-000007030000}"/>
    <cellStyle name="20% - Accent6 32" xfId="935" xr:uid="{00000000-0005-0000-0000-000008030000}"/>
    <cellStyle name="20% - Accent6 33" xfId="936" xr:uid="{00000000-0005-0000-0000-000009030000}"/>
    <cellStyle name="20% - Accent6 34" xfId="937" xr:uid="{00000000-0005-0000-0000-00000A030000}"/>
    <cellStyle name="20% - Accent6 35" xfId="938" xr:uid="{00000000-0005-0000-0000-00000B030000}"/>
    <cellStyle name="20% - Accent6 36" xfId="939" xr:uid="{00000000-0005-0000-0000-00000C030000}"/>
    <cellStyle name="20% - Accent6 37" xfId="940" xr:uid="{00000000-0005-0000-0000-00000D030000}"/>
    <cellStyle name="20% - Accent6 38" xfId="941" xr:uid="{00000000-0005-0000-0000-00000E030000}"/>
    <cellStyle name="20% - Accent6 39" xfId="942" xr:uid="{00000000-0005-0000-0000-00000F030000}"/>
    <cellStyle name="20% - Accent6 4" xfId="943" xr:uid="{00000000-0005-0000-0000-000010030000}"/>
    <cellStyle name="20% - Accent6 4 2" xfId="944" xr:uid="{00000000-0005-0000-0000-000011030000}"/>
    <cellStyle name="20% - Accent6 4 2 2" xfId="945" xr:uid="{00000000-0005-0000-0000-000012030000}"/>
    <cellStyle name="20% - Accent6 4 3" xfId="946" xr:uid="{00000000-0005-0000-0000-000013030000}"/>
    <cellStyle name="20% - Accent6 4_Sheet1" xfId="947" xr:uid="{00000000-0005-0000-0000-000014030000}"/>
    <cellStyle name="20% - Accent6 40" xfId="948" xr:uid="{00000000-0005-0000-0000-000015030000}"/>
    <cellStyle name="20% - Accent6 41" xfId="949" xr:uid="{00000000-0005-0000-0000-000016030000}"/>
    <cellStyle name="20% - Accent6 42" xfId="950" xr:uid="{00000000-0005-0000-0000-000017030000}"/>
    <cellStyle name="20% - Accent6 43" xfId="951" xr:uid="{00000000-0005-0000-0000-000018030000}"/>
    <cellStyle name="20% - Accent6 44" xfId="952" xr:uid="{00000000-0005-0000-0000-000019030000}"/>
    <cellStyle name="20% - Accent6 45" xfId="953" xr:uid="{00000000-0005-0000-0000-00001A030000}"/>
    <cellStyle name="20% - Accent6 46" xfId="954" xr:uid="{00000000-0005-0000-0000-00001B030000}"/>
    <cellStyle name="20% - Accent6 47" xfId="955" xr:uid="{00000000-0005-0000-0000-00001C030000}"/>
    <cellStyle name="20% - Accent6 48" xfId="956" xr:uid="{00000000-0005-0000-0000-00001D030000}"/>
    <cellStyle name="20% - Accent6 49" xfId="957" xr:uid="{00000000-0005-0000-0000-00001E030000}"/>
    <cellStyle name="20% - Accent6 5" xfId="958" xr:uid="{00000000-0005-0000-0000-00001F030000}"/>
    <cellStyle name="20% - Accent6 5 2" xfId="959" xr:uid="{00000000-0005-0000-0000-000020030000}"/>
    <cellStyle name="20% - Accent6 5 2 2" xfId="960" xr:uid="{00000000-0005-0000-0000-000021030000}"/>
    <cellStyle name="20% - Accent6 5 3" xfId="961" xr:uid="{00000000-0005-0000-0000-000022030000}"/>
    <cellStyle name="20% - Accent6 5_Sheet1" xfId="962" xr:uid="{00000000-0005-0000-0000-000023030000}"/>
    <cellStyle name="20% - Accent6 50" xfId="963" xr:uid="{00000000-0005-0000-0000-000024030000}"/>
    <cellStyle name="20% - Accent6 51" xfId="964" xr:uid="{00000000-0005-0000-0000-000025030000}"/>
    <cellStyle name="20% - Accent6 52" xfId="965" xr:uid="{00000000-0005-0000-0000-000026030000}"/>
    <cellStyle name="20% - Accent6 53" xfId="966" xr:uid="{00000000-0005-0000-0000-000027030000}"/>
    <cellStyle name="20% - Accent6 54" xfId="967" xr:uid="{00000000-0005-0000-0000-000028030000}"/>
    <cellStyle name="20% - Accent6 55" xfId="968" xr:uid="{00000000-0005-0000-0000-000029030000}"/>
    <cellStyle name="20% - Accent6 56" xfId="969" xr:uid="{00000000-0005-0000-0000-00002A030000}"/>
    <cellStyle name="20% - Accent6 57" xfId="970" xr:uid="{00000000-0005-0000-0000-00002B030000}"/>
    <cellStyle name="20% - Accent6 58" xfId="971" xr:uid="{00000000-0005-0000-0000-00002C030000}"/>
    <cellStyle name="20% - Accent6 59" xfId="972" xr:uid="{00000000-0005-0000-0000-00002D030000}"/>
    <cellStyle name="20% - Accent6 6" xfId="973" xr:uid="{00000000-0005-0000-0000-00002E030000}"/>
    <cellStyle name="20% - Accent6 6 2" xfId="974" xr:uid="{00000000-0005-0000-0000-00002F030000}"/>
    <cellStyle name="20% - Accent6 6 2 2" xfId="975" xr:uid="{00000000-0005-0000-0000-000030030000}"/>
    <cellStyle name="20% - Accent6 6 3" xfId="976" xr:uid="{00000000-0005-0000-0000-000031030000}"/>
    <cellStyle name="20% - Accent6 6_Sheet1" xfId="977" xr:uid="{00000000-0005-0000-0000-000032030000}"/>
    <cellStyle name="20% - Accent6 60" xfId="978" xr:uid="{00000000-0005-0000-0000-000033030000}"/>
    <cellStyle name="20% - Accent6 61" xfId="979" xr:uid="{00000000-0005-0000-0000-000034030000}"/>
    <cellStyle name="20% - Accent6 62" xfId="980" xr:uid="{00000000-0005-0000-0000-000035030000}"/>
    <cellStyle name="20% - Accent6 63" xfId="981" xr:uid="{00000000-0005-0000-0000-000036030000}"/>
    <cellStyle name="20% - Accent6 64" xfId="982" xr:uid="{00000000-0005-0000-0000-000037030000}"/>
    <cellStyle name="20% - Accent6 65" xfId="983" xr:uid="{00000000-0005-0000-0000-000038030000}"/>
    <cellStyle name="20% - Accent6 66" xfId="984" xr:uid="{00000000-0005-0000-0000-000039030000}"/>
    <cellStyle name="20% - Accent6 67" xfId="985" xr:uid="{00000000-0005-0000-0000-00003A030000}"/>
    <cellStyle name="20% - Accent6 68" xfId="986" xr:uid="{00000000-0005-0000-0000-00003B030000}"/>
    <cellStyle name="20% - Accent6 69" xfId="987" xr:uid="{00000000-0005-0000-0000-00003C030000}"/>
    <cellStyle name="20% - Accent6 7" xfId="988" xr:uid="{00000000-0005-0000-0000-00003D030000}"/>
    <cellStyle name="20% - Accent6 7 2" xfId="989" xr:uid="{00000000-0005-0000-0000-00003E030000}"/>
    <cellStyle name="20% - Accent6 7 2 2" xfId="990" xr:uid="{00000000-0005-0000-0000-00003F030000}"/>
    <cellStyle name="20% - Accent6 7 3" xfId="991" xr:uid="{00000000-0005-0000-0000-000040030000}"/>
    <cellStyle name="20% - Accent6 7_Sheet1" xfId="992" xr:uid="{00000000-0005-0000-0000-000041030000}"/>
    <cellStyle name="20% - Accent6 70" xfId="993" xr:uid="{00000000-0005-0000-0000-000042030000}"/>
    <cellStyle name="20% - Accent6 71" xfId="994" xr:uid="{00000000-0005-0000-0000-000043030000}"/>
    <cellStyle name="20% - Accent6 8" xfId="995" xr:uid="{00000000-0005-0000-0000-000044030000}"/>
    <cellStyle name="20% - Accent6 8 2" xfId="996" xr:uid="{00000000-0005-0000-0000-000045030000}"/>
    <cellStyle name="20% - Accent6 8 2 2" xfId="997" xr:uid="{00000000-0005-0000-0000-000046030000}"/>
    <cellStyle name="20% - Accent6 8 3" xfId="998" xr:uid="{00000000-0005-0000-0000-000047030000}"/>
    <cellStyle name="20% - Accent6 8_Sheet1" xfId="999" xr:uid="{00000000-0005-0000-0000-000048030000}"/>
    <cellStyle name="20% - Accent6 9" xfId="1000" xr:uid="{00000000-0005-0000-0000-000049030000}"/>
    <cellStyle name="20% - Accent6 9 2" xfId="1001" xr:uid="{00000000-0005-0000-0000-00004A030000}"/>
    <cellStyle name="20% - Accent6 9 2 2" xfId="1002" xr:uid="{00000000-0005-0000-0000-00004B030000}"/>
    <cellStyle name="20% - Accent6 9 3" xfId="1003" xr:uid="{00000000-0005-0000-0000-00004C030000}"/>
    <cellStyle name="20% - Accent6 9_Sheet1" xfId="1004" xr:uid="{00000000-0005-0000-0000-00004D030000}"/>
    <cellStyle name="20% – rõhk1" xfId="1" builtinId="30" customBuiltin="1"/>
    <cellStyle name="20% – rõhk1 2" xfId="73" xr:uid="{00000000-0005-0000-0000-00004E030000}"/>
    <cellStyle name="20% – rõhk1 2 2" xfId="3869" xr:uid="{00000000-0005-0000-0000-00004F030000}"/>
    <cellStyle name="20% – rõhk1 2 3" xfId="1005" xr:uid="{00000000-0005-0000-0000-000050030000}"/>
    <cellStyle name="20% – rõhk1 3" xfId="74" xr:uid="{00000000-0005-0000-0000-000051030000}"/>
    <cellStyle name="20% – rõhk2" xfId="2" builtinId="34" customBuiltin="1"/>
    <cellStyle name="20% – rõhk2 2" xfId="75" xr:uid="{00000000-0005-0000-0000-000052030000}"/>
    <cellStyle name="20% – rõhk2 2 2" xfId="3870" xr:uid="{00000000-0005-0000-0000-000053030000}"/>
    <cellStyle name="20% – rõhk2 2 3" xfId="1006" xr:uid="{00000000-0005-0000-0000-000054030000}"/>
    <cellStyle name="20% – rõhk2 3" xfId="76" xr:uid="{00000000-0005-0000-0000-000055030000}"/>
    <cellStyle name="20% – rõhk3" xfId="3" builtinId="38" customBuiltin="1"/>
    <cellStyle name="20% – rõhk3 2" xfId="77" xr:uid="{00000000-0005-0000-0000-000056030000}"/>
    <cellStyle name="20% – rõhk3 2 2" xfId="3871" xr:uid="{00000000-0005-0000-0000-000057030000}"/>
    <cellStyle name="20% – rõhk3 2 3" xfId="1007" xr:uid="{00000000-0005-0000-0000-000058030000}"/>
    <cellStyle name="20% – rõhk3 3" xfId="78" xr:uid="{00000000-0005-0000-0000-000059030000}"/>
    <cellStyle name="20% – rõhk4" xfId="4" builtinId="42" customBuiltin="1"/>
    <cellStyle name="20% – rõhk4 2" xfId="79" xr:uid="{00000000-0005-0000-0000-00005A030000}"/>
    <cellStyle name="20% – rõhk4 2 2" xfId="3872" xr:uid="{00000000-0005-0000-0000-00005B030000}"/>
    <cellStyle name="20% – rõhk4 2 3" xfId="1008" xr:uid="{00000000-0005-0000-0000-00005C030000}"/>
    <cellStyle name="20% – rõhk4 3" xfId="80" xr:uid="{00000000-0005-0000-0000-00005D030000}"/>
    <cellStyle name="20% – rõhk5" xfId="5" builtinId="46" customBuiltin="1"/>
    <cellStyle name="20% – rõhk5 2" xfId="81" xr:uid="{00000000-0005-0000-0000-00005E030000}"/>
    <cellStyle name="20% – rõhk5 2 2" xfId="3873" xr:uid="{00000000-0005-0000-0000-00005F030000}"/>
    <cellStyle name="20% – rõhk5 2 3" xfId="1009" xr:uid="{00000000-0005-0000-0000-000060030000}"/>
    <cellStyle name="20% – rõhk5 3" xfId="82" xr:uid="{00000000-0005-0000-0000-000061030000}"/>
    <cellStyle name="20% – rõhk6" xfId="6" builtinId="50" customBuiltin="1"/>
    <cellStyle name="20% – rõhk6 2" xfId="83" xr:uid="{00000000-0005-0000-0000-000062030000}"/>
    <cellStyle name="20% – rõhk6 2 2" xfId="3874" xr:uid="{00000000-0005-0000-0000-000063030000}"/>
    <cellStyle name="20% – rõhk6 2 3" xfId="1010" xr:uid="{00000000-0005-0000-0000-000064030000}"/>
    <cellStyle name="20% – rõhk6 3" xfId="84" xr:uid="{00000000-0005-0000-0000-000065030000}"/>
    <cellStyle name="40% - Accent1 10" xfId="1011" xr:uid="{00000000-0005-0000-0000-000067030000}"/>
    <cellStyle name="40% - Accent1 10 2" xfId="1012" xr:uid="{00000000-0005-0000-0000-000068030000}"/>
    <cellStyle name="40% - Accent1 10 2 2" xfId="1013" xr:uid="{00000000-0005-0000-0000-000069030000}"/>
    <cellStyle name="40% - Accent1 10 3" xfId="1014" xr:uid="{00000000-0005-0000-0000-00006A030000}"/>
    <cellStyle name="40% - Accent1 10_Sheet1" xfId="1015" xr:uid="{00000000-0005-0000-0000-00006B030000}"/>
    <cellStyle name="40% - Accent1 11" xfId="1016" xr:uid="{00000000-0005-0000-0000-00006C030000}"/>
    <cellStyle name="40% - Accent1 11 2" xfId="1017" xr:uid="{00000000-0005-0000-0000-00006D030000}"/>
    <cellStyle name="40% - Accent1 11 2 2" xfId="1018" xr:uid="{00000000-0005-0000-0000-00006E030000}"/>
    <cellStyle name="40% - Accent1 11 3" xfId="1019" xr:uid="{00000000-0005-0000-0000-00006F030000}"/>
    <cellStyle name="40% - Accent1 11_Sheet1" xfId="1020" xr:uid="{00000000-0005-0000-0000-000070030000}"/>
    <cellStyle name="40% - Accent1 12" xfId="1021" xr:uid="{00000000-0005-0000-0000-000071030000}"/>
    <cellStyle name="40% - Accent1 12 2" xfId="1022" xr:uid="{00000000-0005-0000-0000-000072030000}"/>
    <cellStyle name="40% - Accent1 12 2 2" xfId="1023" xr:uid="{00000000-0005-0000-0000-000073030000}"/>
    <cellStyle name="40% - Accent1 12 3" xfId="1024" xr:uid="{00000000-0005-0000-0000-000074030000}"/>
    <cellStyle name="40% - Accent1 12_Sheet1" xfId="1025" xr:uid="{00000000-0005-0000-0000-000075030000}"/>
    <cellStyle name="40% - Accent1 13" xfId="1026" xr:uid="{00000000-0005-0000-0000-000076030000}"/>
    <cellStyle name="40% - Accent1 13 2" xfId="1027" xr:uid="{00000000-0005-0000-0000-000077030000}"/>
    <cellStyle name="40% - Accent1 13 2 2" xfId="1028" xr:uid="{00000000-0005-0000-0000-000078030000}"/>
    <cellStyle name="40% - Accent1 13 3" xfId="1029" xr:uid="{00000000-0005-0000-0000-000079030000}"/>
    <cellStyle name="40% - Accent1 13_Sheet1" xfId="1030" xr:uid="{00000000-0005-0000-0000-00007A030000}"/>
    <cellStyle name="40% - Accent1 14" xfId="1031" xr:uid="{00000000-0005-0000-0000-00007B030000}"/>
    <cellStyle name="40% - Accent1 14 2" xfId="1032" xr:uid="{00000000-0005-0000-0000-00007C030000}"/>
    <cellStyle name="40% - Accent1 14 2 2" xfId="1033" xr:uid="{00000000-0005-0000-0000-00007D030000}"/>
    <cellStyle name="40% - Accent1 14 3" xfId="1034" xr:uid="{00000000-0005-0000-0000-00007E030000}"/>
    <cellStyle name="40% - Accent1 14_Sheet1" xfId="1035" xr:uid="{00000000-0005-0000-0000-00007F030000}"/>
    <cellStyle name="40% - Accent1 15" xfId="1036" xr:uid="{00000000-0005-0000-0000-000080030000}"/>
    <cellStyle name="40% - Accent1 15 2" xfId="1037" xr:uid="{00000000-0005-0000-0000-000081030000}"/>
    <cellStyle name="40% - Accent1 15 2 2" xfId="1038" xr:uid="{00000000-0005-0000-0000-000082030000}"/>
    <cellStyle name="40% - Accent1 15 3" xfId="1039" xr:uid="{00000000-0005-0000-0000-000083030000}"/>
    <cellStyle name="40% - Accent1 15_Sheet1" xfId="1040" xr:uid="{00000000-0005-0000-0000-000084030000}"/>
    <cellStyle name="40% - Accent1 16" xfId="1041" xr:uid="{00000000-0005-0000-0000-000085030000}"/>
    <cellStyle name="40% - Accent1 16 2" xfId="1042" xr:uid="{00000000-0005-0000-0000-000086030000}"/>
    <cellStyle name="40% - Accent1 16 2 2" xfId="1043" xr:uid="{00000000-0005-0000-0000-000087030000}"/>
    <cellStyle name="40% - Accent1 16 3" xfId="1044" xr:uid="{00000000-0005-0000-0000-000088030000}"/>
    <cellStyle name="40% - Accent1 16_Sheet1" xfId="1045" xr:uid="{00000000-0005-0000-0000-000089030000}"/>
    <cellStyle name="40% - Accent1 17" xfId="1046" xr:uid="{00000000-0005-0000-0000-00008A030000}"/>
    <cellStyle name="40% - Accent1 17 2" xfId="1047" xr:uid="{00000000-0005-0000-0000-00008B030000}"/>
    <cellStyle name="40% - Accent1 17 2 2" xfId="1048" xr:uid="{00000000-0005-0000-0000-00008C030000}"/>
    <cellStyle name="40% - Accent1 17 3" xfId="1049" xr:uid="{00000000-0005-0000-0000-00008D030000}"/>
    <cellStyle name="40% - Accent1 17_Sheet1" xfId="1050" xr:uid="{00000000-0005-0000-0000-00008E030000}"/>
    <cellStyle name="40% - Accent1 18" xfId="1051" xr:uid="{00000000-0005-0000-0000-00008F030000}"/>
    <cellStyle name="40% - Accent1 18 2" xfId="1052" xr:uid="{00000000-0005-0000-0000-000090030000}"/>
    <cellStyle name="40% - Accent1 18 2 2" xfId="1053" xr:uid="{00000000-0005-0000-0000-000091030000}"/>
    <cellStyle name="40% - Accent1 18 3" xfId="1054" xr:uid="{00000000-0005-0000-0000-000092030000}"/>
    <cellStyle name="40% - Accent1 18_Sheet1" xfId="1055" xr:uid="{00000000-0005-0000-0000-000093030000}"/>
    <cellStyle name="40% - Accent1 19" xfId="1056" xr:uid="{00000000-0005-0000-0000-000094030000}"/>
    <cellStyle name="40% - Accent1 2" xfId="1057" xr:uid="{00000000-0005-0000-0000-000095030000}"/>
    <cellStyle name="40% - Accent1 2 2" xfId="1058" xr:uid="{00000000-0005-0000-0000-000096030000}"/>
    <cellStyle name="40% - Accent1 2 2 2" xfId="1059" xr:uid="{00000000-0005-0000-0000-000097030000}"/>
    <cellStyle name="40% - Accent1 2 3" xfId="1060" xr:uid="{00000000-0005-0000-0000-000098030000}"/>
    <cellStyle name="40% - Accent1 2 3 2" xfId="1061" xr:uid="{00000000-0005-0000-0000-000099030000}"/>
    <cellStyle name="40% - Accent1 2 4" xfId="1062" xr:uid="{00000000-0005-0000-0000-00009A030000}"/>
    <cellStyle name="40% - Accent1 2_Sheet1" xfId="1063" xr:uid="{00000000-0005-0000-0000-00009B030000}"/>
    <cellStyle name="40% - Accent1 20" xfId="1064" xr:uid="{00000000-0005-0000-0000-00009C030000}"/>
    <cellStyle name="40% - Accent1 21" xfId="1065" xr:uid="{00000000-0005-0000-0000-00009D030000}"/>
    <cellStyle name="40% - Accent1 22" xfId="1066" xr:uid="{00000000-0005-0000-0000-00009E030000}"/>
    <cellStyle name="40% - Accent1 23" xfId="1067" xr:uid="{00000000-0005-0000-0000-00009F030000}"/>
    <cellStyle name="40% - Accent1 24" xfId="1068" xr:uid="{00000000-0005-0000-0000-0000A0030000}"/>
    <cellStyle name="40% - Accent1 25" xfId="1069" xr:uid="{00000000-0005-0000-0000-0000A1030000}"/>
    <cellStyle name="40% - Accent1 26" xfId="1070" xr:uid="{00000000-0005-0000-0000-0000A2030000}"/>
    <cellStyle name="40% - Accent1 27" xfId="1071" xr:uid="{00000000-0005-0000-0000-0000A3030000}"/>
    <cellStyle name="40% - Accent1 28" xfId="1072" xr:uid="{00000000-0005-0000-0000-0000A4030000}"/>
    <cellStyle name="40% - Accent1 29" xfId="1073" xr:uid="{00000000-0005-0000-0000-0000A5030000}"/>
    <cellStyle name="40% - Accent1 3" xfId="1074" xr:uid="{00000000-0005-0000-0000-0000A6030000}"/>
    <cellStyle name="40% - Accent1 3 2" xfId="1075" xr:uid="{00000000-0005-0000-0000-0000A7030000}"/>
    <cellStyle name="40% - Accent1 3 2 2" xfId="1076" xr:uid="{00000000-0005-0000-0000-0000A8030000}"/>
    <cellStyle name="40% - Accent1 3 3" xfId="1077" xr:uid="{00000000-0005-0000-0000-0000A9030000}"/>
    <cellStyle name="40% - Accent1 3_Sheet1" xfId="1078" xr:uid="{00000000-0005-0000-0000-0000AA030000}"/>
    <cellStyle name="40% - Accent1 30" xfId="1079" xr:uid="{00000000-0005-0000-0000-0000AB030000}"/>
    <cellStyle name="40% - Accent1 31" xfId="1080" xr:uid="{00000000-0005-0000-0000-0000AC030000}"/>
    <cellStyle name="40% - Accent1 32" xfId="1081" xr:uid="{00000000-0005-0000-0000-0000AD030000}"/>
    <cellStyle name="40% - Accent1 33" xfId="1082" xr:uid="{00000000-0005-0000-0000-0000AE030000}"/>
    <cellStyle name="40% - Accent1 34" xfId="1083" xr:uid="{00000000-0005-0000-0000-0000AF030000}"/>
    <cellStyle name="40% - Accent1 35" xfId="1084" xr:uid="{00000000-0005-0000-0000-0000B0030000}"/>
    <cellStyle name="40% - Accent1 36" xfId="1085" xr:uid="{00000000-0005-0000-0000-0000B1030000}"/>
    <cellStyle name="40% - Accent1 37" xfId="1086" xr:uid="{00000000-0005-0000-0000-0000B2030000}"/>
    <cellStyle name="40% - Accent1 38" xfId="1087" xr:uid="{00000000-0005-0000-0000-0000B3030000}"/>
    <cellStyle name="40% - Accent1 39" xfId="1088" xr:uid="{00000000-0005-0000-0000-0000B4030000}"/>
    <cellStyle name="40% - Accent1 4" xfId="1089" xr:uid="{00000000-0005-0000-0000-0000B5030000}"/>
    <cellStyle name="40% - Accent1 4 2" xfId="1090" xr:uid="{00000000-0005-0000-0000-0000B6030000}"/>
    <cellStyle name="40% - Accent1 4 2 2" xfId="1091" xr:uid="{00000000-0005-0000-0000-0000B7030000}"/>
    <cellStyle name="40% - Accent1 4 3" xfId="1092" xr:uid="{00000000-0005-0000-0000-0000B8030000}"/>
    <cellStyle name="40% - Accent1 4_Sheet1" xfId="1093" xr:uid="{00000000-0005-0000-0000-0000B9030000}"/>
    <cellStyle name="40% - Accent1 40" xfId="1094" xr:uid="{00000000-0005-0000-0000-0000BA030000}"/>
    <cellStyle name="40% - Accent1 41" xfId="1095" xr:uid="{00000000-0005-0000-0000-0000BB030000}"/>
    <cellStyle name="40% - Accent1 42" xfId="1096" xr:uid="{00000000-0005-0000-0000-0000BC030000}"/>
    <cellStyle name="40% - Accent1 43" xfId="1097" xr:uid="{00000000-0005-0000-0000-0000BD030000}"/>
    <cellStyle name="40% - Accent1 44" xfId="1098" xr:uid="{00000000-0005-0000-0000-0000BE030000}"/>
    <cellStyle name="40% - Accent1 45" xfId="1099" xr:uid="{00000000-0005-0000-0000-0000BF030000}"/>
    <cellStyle name="40% - Accent1 46" xfId="1100" xr:uid="{00000000-0005-0000-0000-0000C0030000}"/>
    <cellStyle name="40% - Accent1 47" xfId="1101" xr:uid="{00000000-0005-0000-0000-0000C1030000}"/>
    <cellStyle name="40% - Accent1 48" xfId="1102" xr:uid="{00000000-0005-0000-0000-0000C2030000}"/>
    <cellStyle name="40% - Accent1 49" xfId="1103" xr:uid="{00000000-0005-0000-0000-0000C3030000}"/>
    <cellStyle name="40% - Accent1 5" xfId="1104" xr:uid="{00000000-0005-0000-0000-0000C4030000}"/>
    <cellStyle name="40% - Accent1 5 2" xfId="1105" xr:uid="{00000000-0005-0000-0000-0000C5030000}"/>
    <cellStyle name="40% - Accent1 5 2 2" xfId="1106" xr:uid="{00000000-0005-0000-0000-0000C6030000}"/>
    <cellStyle name="40% - Accent1 5 3" xfId="1107" xr:uid="{00000000-0005-0000-0000-0000C7030000}"/>
    <cellStyle name="40% - Accent1 5_Sheet1" xfId="1108" xr:uid="{00000000-0005-0000-0000-0000C8030000}"/>
    <cellStyle name="40% - Accent1 50" xfId="1109" xr:uid="{00000000-0005-0000-0000-0000C9030000}"/>
    <cellStyle name="40% - Accent1 51" xfId="1110" xr:uid="{00000000-0005-0000-0000-0000CA030000}"/>
    <cellStyle name="40% - Accent1 52" xfId="1111" xr:uid="{00000000-0005-0000-0000-0000CB030000}"/>
    <cellStyle name="40% - Accent1 53" xfId="1112" xr:uid="{00000000-0005-0000-0000-0000CC030000}"/>
    <cellStyle name="40% - Accent1 54" xfId="1113" xr:uid="{00000000-0005-0000-0000-0000CD030000}"/>
    <cellStyle name="40% - Accent1 55" xfId="1114" xr:uid="{00000000-0005-0000-0000-0000CE030000}"/>
    <cellStyle name="40% - Accent1 56" xfId="1115" xr:uid="{00000000-0005-0000-0000-0000CF030000}"/>
    <cellStyle name="40% - Accent1 57" xfId="1116" xr:uid="{00000000-0005-0000-0000-0000D0030000}"/>
    <cellStyle name="40% - Accent1 58" xfId="1117" xr:uid="{00000000-0005-0000-0000-0000D1030000}"/>
    <cellStyle name="40% - Accent1 59" xfId="1118" xr:uid="{00000000-0005-0000-0000-0000D2030000}"/>
    <cellStyle name="40% - Accent1 6" xfId="1119" xr:uid="{00000000-0005-0000-0000-0000D3030000}"/>
    <cellStyle name="40% - Accent1 6 2" xfId="1120" xr:uid="{00000000-0005-0000-0000-0000D4030000}"/>
    <cellStyle name="40% - Accent1 6 2 2" xfId="1121" xr:uid="{00000000-0005-0000-0000-0000D5030000}"/>
    <cellStyle name="40% - Accent1 6 3" xfId="1122" xr:uid="{00000000-0005-0000-0000-0000D6030000}"/>
    <cellStyle name="40% - Accent1 6_Sheet1" xfId="1123" xr:uid="{00000000-0005-0000-0000-0000D7030000}"/>
    <cellStyle name="40% - Accent1 60" xfId="1124" xr:uid="{00000000-0005-0000-0000-0000D8030000}"/>
    <cellStyle name="40% - Accent1 61" xfId="1125" xr:uid="{00000000-0005-0000-0000-0000D9030000}"/>
    <cellStyle name="40% - Accent1 62" xfId="1126" xr:uid="{00000000-0005-0000-0000-0000DA030000}"/>
    <cellStyle name="40% - Accent1 63" xfId="1127" xr:uid="{00000000-0005-0000-0000-0000DB030000}"/>
    <cellStyle name="40% - Accent1 64" xfId="1128" xr:uid="{00000000-0005-0000-0000-0000DC030000}"/>
    <cellStyle name="40% - Accent1 65" xfId="1129" xr:uid="{00000000-0005-0000-0000-0000DD030000}"/>
    <cellStyle name="40% - Accent1 66" xfId="1130" xr:uid="{00000000-0005-0000-0000-0000DE030000}"/>
    <cellStyle name="40% - Accent1 67" xfId="1131" xr:uid="{00000000-0005-0000-0000-0000DF030000}"/>
    <cellStyle name="40% - Accent1 68" xfId="1132" xr:uid="{00000000-0005-0000-0000-0000E0030000}"/>
    <cellStyle name="40% - Accent1 69" xfId="1133" xr:uid="{00000000-0005-0000-0000-0000E1030000}"/>
    <cellStyle name="40% - Accent1 7" xfId="1134" xr:uid="{00000000-0005-0000-0000-0000E2030000}"/>
    <cellStyle name="40% - Accent1 7 2" xfId="1135" xr:uid="{00000000-0005-0000-0000-0000E3030000}"/>
    <cellStyle name="40% - Accent1 7 2 2" xfId="1136" xr:uid="{00000000-0005-0000-0000-0000E4030000}"/>
    <cellStyle name="40% - Accent1 7 3" xfId="1137" xr:uid="{00000000-0005-0000-0000-0000E5030000}"/>
    <cellStyle name="40% - Accent1 7_Sheet1" xfId="1138" xr:uid="{00000000-0005-0000-0000-0000E6030000}"/>
    <cellStyle name="40% - Accent1 70" xfId="1139" xr:uid="{00000000-0005-0000-0000-0000E7030000}"/>
    <cellStyle name="40% - Accent1 71" xfId="1140" xr:uid="{00000000-0005-0000-0000-0000E8030000}"/>
    <cellStyle name="40% - Accent1 8" xfId="1141" xr:uid="{00000000-0005-0000-0000-0000E9030000}"/>
    <cellStyle name="40% - Accent1 8 2" xfId="1142" xr:uid="{00000000-0005-0000-0000-0000EA030000}"/>
    <cellStyle name="40% - Accent1 8 2 2" xfId="1143" xr:uid="{00000000-0005-0000-0000-0000EB030000}"/>
    <cellStyle name="40% - Accent1 8 3" xfId="1144" xr:uid="{00000000-0005-0000-0000-0000EC030000}"/>
    <cellStyle name="40% - Accent1 8_Sheet1" xfId="1145" xr:uid="{00000000-0005-0000-0000-0000ED030000}"/>
    <cellStyle name="40% - Accent1 9" xfId="1146" xr:uid="{00000000-0005-0000-0000-0000EE030000}"/>
    <cellStyle name="40% - Accent1 9 2" xfId="1147" xr:uid="{00000000-0005-0000-0000-0000EF030000}"/>
    <cellStyle name="40% - Accent1 9 2 2" xfId="1148" xr:uid="{00000000-0005-0000-0000-0000F0030000}"/>
    <cellStyle name="40% - Accent1 9 3" xfId="1149" xr:uid="{00000000-0005-0000-0000-0000F1030000}"/>
    <cellStyle name="40% - Accent1 9_Sheet1" xfId="1150" xr:uid="{00000000-0005-0000-0000-0000F2030000}"/>
    <cellStyle name="40% - Accent2 10" xfId="1151" xr:uid="{00000000-0005-0000-0000-0000F4030000}"/>
    <cellStyle name="40% - Accent2 10 2" xfId="1152" xr:uid="{00000000-0005-0000-0000-0000F5030000}"/>
    <cellStyle name="40% - Accent2 10 2 2" xfId="1153" xr:uid="{00000000-0005-0000-0000-0000F6030000}"/>
    <cellStyle name="40% - Accent2 10 3" xfId="1154" xr:uid="{00000000-0005-0000-0000-0000F7030000}"/>
    <cellStyle name="40% - Accent2 10_Sheet1" xfId="1155" xr:uid="{00000000-0005-0000-0000-0000F8030000}"/>
    <cellStyle name="40% - Accent2 11" xfId="1156" xr:uid="{00000000-0005-0000-0000-0000F9030000}"/>
    <cellStyle name="40% - Accent2 11 2" xfId="1157" xr:uid="{00000000-0005-0000-0000-0000FA030000}"/>
    <cellStyle name="40% - Accent2 11 2 2" xfId="1158" xr:uid="{00000000-0005-0000-0000-0000FB030000}"/>
    <cellStyle name="40% - Accent2 11 3" xfId="1159" xr:uid="{00000000-0005-0000-0000-0000FC030000}"/>
    <cellStyle name="40% - Accent2 11_Sheet1" xfId="1160" xr:uid="{00000000-0005-0000-0000-0000FD030000}"/>
    <cellStyle name="40% - Accent2 12" xfId="1161" xr:uid="{00000000-0005-0000-0000-0000FE030000}"/>
    <cellStyle name="40% - Accent2 12 2" xfId="1162" xr:uid="{00000000-0005-0000-0000-0000FF030000}"/>
    <cellStyle name="40% - Accent2 12 2 2" xfId="1163" xr:uid="{00000000-0005-0000-0000-000000040000}"/>
    <cellStyle name="40% - Accent2 12 3" xfId="1164" xr:uid="{00000000-0005-0000-0000-000001040000}"/>
    <cellStyle name="40% - Accent2 12_Sheet1" xfId="1165" xr:uid="{00000000-0005-0000-0000-000002040000}"/>
    <cellStyle name="40% - Accent2 13" xfId="1166" xr:uid="{00000000-0005-0000-0000-000003040000}"/>
    <cellStyle name="40% - Accent2 13 2" xfId="1167" xr:uid="{00000000-0005-0000-0000-000004040000}"/>
    <cellStyle name="40% - Accent2 13 2 2" xfId="1168" xr:uid="{00000000-0005-0000-0000-000005040000}"/>
    <cellStyle name="40% - Accent2 13 3" xfId="1169" xr:uid="{00000000-0005-0000-0000-000006040000}"/>
    <cellStyle name="40% - Accent2 13_Sheet1" xfId="1170" xr:uid="{00000000-0005-0000-0000-000007040000}"/>
    <cellStyle name="40% - Accent2 14" xfId="1171" xr:uid="{00000000-0005-0000-0000-000008040000}"/>
    <cellStyle name="40% - Accent2 14 2" xfId="1172" xr:uid="{00000000-0005-0000-0000-000009040000}"/>
    <cellStyle name="40% - Accent2 14 2 2" xfId="1173" xr:uid="{00000000-0005-0000-0000-00000A040000}"/>
    <cellStyle name="40% - Accent2 14 3" xfId="1174" xr:uid="{00000000-0005-0000-0000-00000B040000}"/>
    <cellStyle name="40% - Accent2 14_Sheet1" xfId="1175" xr:uid="{00000000-0005-0000-0000-00000C040000}"/>
    <cellStyle name="40% - Accent2 15" xfId="1176" xr:uid="{00000000-0005-0000-0000-00000D040000}"/>
    <cellStyle name="40% - Accent2 15 2" xfId="1177" xr:uid="{00000000-0005-0000-0000-00000E040000}"/>
    <cellStyle name="40% - Accent2 15 2 2" xfId="1178" xr:uid="{00000000-0005-0000-0000-00000F040000}"/>
    <cellStyle name="40% - Accent2 15 3" xfId="1179" xr:uid="{00000000-0005-0000-0000-000010040000}"/>
    <cellStyle name="40% - Accent2 15_Sheet1" xfId="1180" xr:uid="{00000000-0005-0000-0000-000011040000}"/>
    <cellStyle name="40% - Accent2 16" xfId="1181" xr:uid="{00000000-0005-0000-0000-000012040000}"/>
    <cellStyle name="40% - Accent2 16 2" xfId="1182" xr:uid="{00000000-0005-0000-0000-000013040000}"/>
    <cellStyle name="40% - Accent2 16 2 2" xfId="1183" xr:uid="{00000000-0005-0000-0000-000014040000}"/>
    <cellStyle name="40% - Accent2 16 3" xfId="1184" xr:uid="{00000000-0005-0000-0000-000015040000}"/>
    <cellStyle name="40% - Accent2 16_Sheet1" xfId="1185" xr:uid="{00000000-0005-0000-0000-000016040000}"/>
    <cellStyle name="40% - Accent2 17" xfId="1186" xr:uid="{00000000-0005-0000-0000-000017040000}"/>
    <cellStyle name="40% - Accent2 17 2" xfId="1187" xr:uid="{00000000-0005-0000-0000-000018040000}"/>
    <cellStyle name="40% - Accent2 17 2 2" xfId="1188" xr:uid="{00000000-0005-0000-0000-000019040000}"/>
    <cellStyle name="40% - Accent2 17 3" xfId="1189" xr:uid="{00000000-0005-0000-0000-00001A040000}"/>
    <cellStyle name="40% - Accent2 17_Sheet1" xfId="1190" xr:uid="{00000000-0005-0000-0000-00001B040000}"/>
    <cellStyle name="40% - Accent2 18" xfId="1191" xr:uid="{00000000-0005-0000-0000-00001C040000}"/>
    <cellStyle name="40% - Accent2 18 2" xfId="1192" xr:uid="{00000000-0005-0000-0000-00001D040000}"/>
    <cellStyle name="40% - Accent2 18 2 2" xfId="1193" xr:uid="{00000000-0005-0000-0000-00001E040000}"/>
    <cellStyle name="40% - Accent2 18 3" xfId="1194" xr:uid="{00000000-0005-0000-0000-00001F040000}"/>
    <cellStyle name="40% - Accent2 18_Sheet1" xfId="1195" xr:uid="{00000000-0005-0000-0000-000020040000}"/>
    <cellStyle name="40% - Accent2 19" xfId="1196" xr:uid="{00000000-0005-0000-0000-000021040000}"/>
    <cellStyle name="40% - Accent2 2" xfId="1197" xr:uid="{00000000-0005-0000-0000-000022040000}"/>
    <cellStyle name="40% - Accent2 2 2" xfId="1198" xr:uid="{00000000-0005-0000-0000-000023040000}"/>
    <cellStyle name="40% - Accent2 2 2 2" xfId="1199" xr:uid="{00000000-0005-0000-0000-000024040000}"/>
    <cellStyle name="40% - Accent2 2 3" xfId="1200" xr:uid="{00000000-0005-0000-0000-000025040000}"/>
    <cellStyle name="40% - Accent2 2 3 2" xfId="1201" xr:uid="{00000000-0005-0000-0000-000026040000}"/>
    <cellStyle name="40% - Accent2 2 4" xfId="1202" xr:uid="{00000000-0005-0000-0000-000027040000}"/>
    <cellStyle name="40% - Accent2 2_Sheet1" xfId="1203" xr:uid="{00000000-0005-0000-0000-000028040000}"/>
    <cellStyle name="40% - Accent2 20" xfId="1204" xr:uid="{00000000-0005-0000-0000-000029040000}"/>
    <cellStyle name="40% - Accent2 21" xfId="1205" xr:uid="{00000000-0005-0000-0000-00002A040000}"/>
    <cellStyle name="40% - Accent2 22" xfId="1206" xr:uid="{00000000-0005-0000-0000-00002B040000}"/>
    <cellStyle name="40% - Accent2 23" xfId="1207" xr:uid="{00000000-0005-0000-0000-00002C040000}"/>
    <cellStyle name="40% - Accent2 24" xfId="1208" xr:uid="{00000000-0005-0000-0000-00002D040000}"/>
    <cellStyle name="40% - Accent2 25" xfId="1209" xr:uid="{00000000-0005-0000-0000-00002E040000}"/>
    <cellStyle name="40% - Accent2 26" xfId="1210" xr:uid="{00000000-0005-0000-0000-00002F040000}"/>
    <cellStyle name="40% - Accent2 27" xfId="1211" xr:uid="{00000000-0005-0000-0000-000030040000}"/>
    <cellStyle name="40% - Accent2 28" xfId="1212" xr:uid="{00000000-0005-0000-0000-000031040000}"/>
    <cellStyle name="40% - Accent2 29" xfId="1213" xr:uid="{00000000-0005-0000-0000-000032040000}"/>
    <cellStyle name="40% - Accent2 3" xfId="1214" xr:uid="{00000000-0005-0000-0000-000033040000}"/>
    <cellStyle name="40% - Accent2 3 2" xfId="1215" xr:uid="{00000000-0005-0000-0000-000034040000}"/>
    <cellStyle name="40% - Accent2 3 2 2" xfId="1216" xr:uid="{00000000-0005-0000-0000-000035040000}"/>
    <cellStyle name="40% - Accent2 3 3" xfId="1217" xr:uid="{00000000-0005-0000-0000-000036040000}"/>
    <cellStyle name="40% - Accent2 3_Sheet1" xfId="1218" xr:uid="{00000000-0005-0000-0000-000037040000}"/>
    <cellStyle name="40% - Accent2 30" xfId="1219" xr:uid="{00000000-0005-0000-0000-000038040000}"/>
    <cellStyle name="40% - Accent2 31" xfId="1220" xr:uid="{00000000-0005-0000-0000-000039040000}"/>
    <cellStyle name="40% - Accent2 32" xfId="1221" xr:uid="{00000000-0005-0000-0000-00003A040000}"/>
    <cellStyle name="40% - Accent2 33" xfId="1222" xr:uid="{00000000-0005-0000-0000-00003B040000}"/>
    <cellStyle name="40% - Accent2 34" xfId="1223" xr:uid="{00000000-0005-0000-0000-00003C040000}"/>
    <cellStyle name="40% - Accent2 35" xfId="1224" xr:uid="{00000000-0005-0000-0000-00003D040000}"/>
    <cellStyle name="40% - Accent2 36" xfId="1225" xr:uid="{00000000-0005-0000-0000-00003E040000}"/>
    <cellStyle name="40% - Accent2 37" xfId="1226" xr:uid="{00000000-0005-0000-0000-00003F040000}"/>
    <cellStyle name="40% - Accent2 38" xfId="1227" xr:uid="{00000000-0005-0000-0000-000040040000}"/>
    <cellStyle name="40% - Accent2 39" xfId="1228" xr:uid="{00000000-0005-0000-0000-000041040000}"/>
    <cellStyle name="40% - Accent2 4" xfId="1229" xr:uid="{00000000-0005-0000-0000-000042040000}"/>
    <cellStyle name="40% - Accent2 4 2" xfId="1230" xr:uid="{00000000-0005-0000-0000-000043040000}"/>
    <cellStyle name="40% - Accent2 4 2 2" xfId="1231" xr:uid="{00000000-0005-0000-0000-000044040000}"/>
    <cellStyle name="40% - Accent2 4 3" xfId="1232" xr:uid="{00000000-0005-0000-0000-000045040000}"/>
    <cellStyle name="40% - Accent2 4_Sheet1" xfId="1233" xr:uid="{00000000-0005-0000-0000-000046040000}"/>
    <cellStyle name="40% - Accent2 40" xfId="1234" xr:uid="{00000000-0005-0000-0000-000047040000}"/>
    <cellStyle name="40% - Accent2 41" xfId="1235" xr:uid="{00000000-0005-0000-0000-000048040000}"/>
    <cellStyle name="40% - Accent2 42" xfId="1236" xr:uid="{00000000-0005-0000-0000-000049040000}"/>
    <cellStyle name="40% - Accent2 43" xfId="1237" xr:uid="{00000000-0005-0000-0000-00004A040000}"/>
    <cellStyle name="40% - Accent2 44" xfId="1238" xr:uid="{00000000-0005-0000-0000-00004B040000}"/>
    <cellStyle name="40% - Accent2 45" xfId="1239" xr:uid="{00000000-0005-0000-0000-00004C040000}"/>
    <cellStyle name="40% - Accent2 46" xfId="1240" xr:uid="{00000000-0005-0000-0000-00004D040000}"/>
    <cellStyle name="40% - Accent2 47" xfId="1241" xr:uid="{00000000-0005-0000-0000-00004E040000}"/>
    <cellStyle name="40% - Accent2 48" xfId="1242" xr:uid="{00000000-0005-0000-0000-00004F040000}"/>
    <cellStyle name="40% - Accent2 49" xfId="1243" xr:uid="{00000000-0005-0000-0000-000050040000}"/>
    <cellStyle name="40% - Accent2 5" xfId="1244" xr:uid="{00000000-0005-0000-0000-000051040000}"/>
    <cellStyle name="40% - Accent2 5 2" xfId="1245" xr:uid="{00000000-0005-0000-0000-000052040000}"/>
    <cellStyle name="40% - Accent2 5 2 2" xfId="1246" xr:uid="{00000000-0005-0000-0000-000053040000}"/>
    <cellStyle name="40% - Accent2 5 3" xfId="1247" xr:uid="{00000000-0005-0000-0000-000054040000}"/>
    <cellStyle name="40% - Accent2 5_Sheet1" xfId="1248" xr:uid="{00000000-0005-0000-0000-000055040000}"/>
    <cellStyle name="40% - Accent2 50" xfId="1249" xr:uid="{00000000-0005-0000-0000-000056040000}"/>
    <cellStyle name="40% - Accent2 51" xfId="1250" xr:uid="{00000000-0005-0000-0000-000057040000}"/>
    <cellStyle name="40% - Accent2 52" xfId="1251" xr:uid="{00000000-0005-0000-0000-000058040000}"/>
    <cellStyle name="40% - Accent2 53" xfId="1252" xr:uid="{00000000-0005-0000-0000-000059040000}"/>
    <cellStyle name="40% - Accent2 54" xfId="1253" xr:uid="{00000000-0005-0000-0000-00005A040000}"/>
    <cellStyle name="40% - Accent2 55" xfId="1254" xr:uid="{00000000-0005-0000-0000-00005B040000}"/>
    <cellStyle name="40% - Accent2 56" xfId="1255" xr:uid="{00000000-0005-0000-0000-00005C040000}"/>
    <cellStyle name="40% - Accent2 57" xfId="1256" xr:uid="{00000000-0005-0000-0000-00005D040000}"/>
    <cellStyle name="40% - Accent2 58" xfId="1257" xr:uid="{00000000-0005-0000-0000-00005E040000}"/>
    <cellStyle name="40% - Accent2 59" xfId="1258" xr:uid="{00000000-0005-0000-0000-00005F040000}"/>
    <cellStyle name="40% - Accent2 6" xfId="1259" xr:uid="{00000000-0005-0000-0000-000060040000}"/>
    <cellStyle name="40% - Accent2 6 2" xfId="1260" xr:uid="{00000000-0005-0000-0000-000061040000}"/>
    <cellStyle name="40% - Accent2 6 2 2" xfId="1261" xr:uid="{00000000-0005-0000-0000-000062040000}"/>
    <cellStyle name="40% - Accent2 6 3" xfId="1262" xr:uid="{00000000-0005-0000-0000-000063040000}"/>
    <cellStyle name="40% - Accent2 6_Sheet1" xfId="1263" xr:uid="{00000000-0005-0000-0000-000064040000}"/>
    <cellStyle name="40% - Accent2 60" xfId="1264" xr:uid="{00000000-0005-0000-0000-000065040000}"/>
    <cellStyle name="40% - Accent2 61" xfId="1265" xr:uid="{00000000-0005-0000-0000-000066040000}"/>
    <cellStyle name="40% - Accent2 62" xfId="1266" xr:uid="{00000000-0005-0000-0000-000067040000}"/>
    <cellStyle name="40% - Accent2 63" xfId="1267" xr:uid="{00000000-0005-0000-0000-000068040000}"/>
    <cellStyle name="40% - Accent2 64" xfId="1268" xr:uid="{00000000-0005-0000-0000-000069040000}"/>
    <cellStyle name="40% - Accent2 65" xfId="1269" xr:uid="{00000000-0005-0000-0000-00006A040000}"/>
    <cellStyle name="40% - Accent2 66" xfId="1270" xr:uid="{00000000-0005-0000-0000-00006B040000}"/>
    <cellStyle name="40% - Accent2 67" xfId="1271" xr:uid="{00000000-0005-0000-0000-00006C040000}"/>
    <cellStyle name="40% - Accent2 68" xfId="1272" xr:uid="{00000000-0005-0000-0000-00006D040000}"/>
    <cellStyle name="40% - Accent2 69" xfId="1273" xr:uid="{00000000-0005-0000-0000-00006E040000}"/>
    <cellStyle name="40% - Accent2 7" xfId="1274" xr:uid="{00000000-0005-0000-0000-00006F040000}"/>
    <cellStyle name="40% - Accent2 7 2" xfId="1275" xr:uid="{00000000-0005-0000-0000-000070040000}"/>
    <cellStyle name="40% - Accent2 7 2 2" xfId="1276" xr:uid="{00000000-0005-0000-0000-000071040000}"/>
    <cellStyle name="40% - Accent2 7 3" xfId="1277" xr:uid="{00000000-0005-0000-0000-000072040000}"/>
    <cellStyle name="40% - Accent2 7_Sheet1" xfId="1278" xr:uid="{00000000-0005-0000-0000-000073040000}"/>
    <cellStyle name="40% - Accent2 70" xfId="1279" xr:uid="{00000000-0005-0000-0000-000074040000}"/>
    <cellStyle name="40% - Accent2 71" xfId="1280" xr:uid="{00000000-0005-0000-0000-000075040000}"/>
    <cellStyle name="40% - Accent2 8" xfId="1281" xr:uid="{00000000-0005-0000-0000-000076040000}"/>
    <cellStyle name="40% - Accent2 8 2" xfId="1282" xr:uid="{00000000-0005-0000-0000-000077040000}"/>
    <cellStyle name="40% - Accent2 8 2 2" xfId="1283" xr:uid="{00000000-0005-0000-0000-000078040000}"/>
    <cellStyle name="40% - Accent2 8 3" xfId="1284" xr:uid="{00000000-0005-0000-0000-000079040000}"/>
    <cellStyle name="40% - Accent2 8_Sheet1" xfId="1285" xr:uid="{00000000-0005-0000-0000-00007A040000}"/>
    <cellStyle name="40% - Accent2 9" xfId="1286" xr:uid="{00000000-0005-0000-0000-00007B040000}"/>
    <cellStyle name="40% - Accent2 9 2" xfId="1287" xr:uid="{00000000-0005-0000-0000-00007C040000}"/>
    <cellStyle name="40% - Accent2 9 2 2" xfId="1288" xr:uid="{00000000-0005-0000-0000-00007D040000}"/>
    <cellStyle name="40% - Accent2 9 3" xfId="1289" xr:uid="{00000000-0005-0000-0000-00007E040000}"/>
    <cellStyle name="40% - Accent2 9_Sheet1" xfId="1290" xr:uid="{00000000-0005-0000-0000-00007F040000}"/>
    <cellStyle name="40% - Accent3 10" xfId="1291" xr:uid="{00000000-0005-0000-0000-000081040000}"/>
    <cellStyle name="40% - Accent3 10 2" xfId="1292" xr:uid="{00000000-0005-0000-0000-000082040000}"/>
    <cellStyle name="40% - Accent3 10 2 2" xfId="1293" xr:uid="{00000000-0005-0000-0000-000083040000}"/>
    <cellStyle name="40% - Accent3 10 3" xfId="1294" xr:uid="{00000000-0005-0000-0000-000084040000}"/>
    <cellStyle name="40% - Accent3 10_Sheet1" xfId="1295" xr:uid="{00000000-0005-0000-0000-000085040000}"/>
    <cellStyle name="40% - Accent3 11" xfId="1296" xr:uid="{00000000-0005-0000-0000-000086040000}"/>
    <cellStyle name="40% - Accent3 11 2" xfId="1297" xr:uid="{00000000-0005-0000-0000-000087040000}"/>
    <cellStyle name="40% - Accent3 11 2 2" xfId="1298" xr:uid="{00000000-0005-0000-0000-000088040000}"/>
    <cellStyle name="40% - Accent3 11 3" xfId="1299" xr:uid="{00000000-0005-0000-0000-000089040000}"/>
    <cellStyle name="40% - Accent3 11_Sheet1" xfId="1300" xr:uid="{00000000-0005-0000-0000-00008A040000}"/>
    <cellStyle name="40% - Accent3 12" xfId="1301" xr:uid="{00000000-0005-0000-0000-00008B040000}"/>
    <cellStyle name="40% - Accent3 12 2" xfId="1302" xr:uid="{00000000-0005-0000-0000-00008C040000}"/>
    <cellStyle name="40% - Accent3 12 2 2" xfId="1303" xr:uid="{00000000-0005-0000-0000-00008D040000}"/>
    <cellStyle name="40% - Accent3 12 3" xfId="1304" xr:uid="{00000000-0005-0000-0000-00008E040000}"/>
    <cellStyle name="40% - Accent3 12_Sheet1" xfId="1305" xr:uid="{00000000-0005-0000-0000-00008F040000}"/>
    <cellStyle name="40% - Accent3 13" xfId="1306" xr:uid="{00000000-0005-0000-0000-000090040000}"/>
    <cellStyle name="40% - Accent3 13 2" xfId="1307" xr:uid="{00000000-0005-0000-0000-000091040000}"/>
    <cellStyle name="40% - Accent3 13 2 2" xfId="1308" xr:uid="{00000000-0005-0000-0000-000092040000}"/>
    <cellStyle name="40% - Accent3 13 3" xfId="1309" xr:uid="{00000000-0005-0000-0000-000093040000}"/>
    <cellStyle name="40% - Accent3 13_Sheet1" xfId="1310" xr:uid="{00000000-0005-0000-0000-000094040000}"/>
    <cellStyle name="40% - Accent3 14" xfId="1311" xr:uid="{00000000-0005-0000-0000-000095040000}"/>
    <cellStyle name="40% - Accent3 14 2" xfId="1312" xr:uid="{00000000-0005-0000-0000-000096040000}"/>
    <cellStyle name="40% - Accent3 14 2 2" xfId="1313" xr:uid="{00000000-0005-0000-0000-000097040000}"/>
    <cellStyle name="40% - Accent3 14 3" xfId="1314" xr:uid="{00000000-0005-0000-0000-000098040000}"/>
    <cellStyle name="40% - Accent3 14_Sheet1" xfId="1315" xr:uid="{00000000-0005-0000-0000-000099040000}"/>
    <cellStyle name="40% - Accent3 15" xfId="1316" xr:uid="{00000000-0005-0000-0000-00009A040000}"/>
    <cellStyle name="40% - Accent3 15 2" xfId="1317" xr:uid="{00000000-0005-0000-0000-00009B040000}"/>
    <cellStyle name="40% - Accent3 15 2 2" xfId="1318" xr:uid="{00000000-0005-0000-0000-00009C040000}"/>
    <cellStyle name="40% - Accent3 15 3" xfId="1319" xr:uid="{00000000-0005-0000-0000-00009D040000}"/>
    <cellStyle name="40% - Accent3 15_Sheet1" xfId="1320" xr:uid="{00000000-0005-0000-0000-00009E040000}"/>
    <cellStyle name="40% - Accent3 16" xfId="1321" xr:uid="{00000000-0005-0000-0000-00009F040000}"/>
    <cellStyle name="40% - Accent3 16 2" xfId="1322" xr:uid="{00000000-0005-0000-0000-0000A0040000}"/>
    <cellStyle name="40% - Accent3 16 2 2" xfId="1323" xr:uid="{00000000-0005-0000-0000-0000A1040000}"/>
    <cellStyle name="40% - Accent3 16 3" xfId="1324" xr:uid="{00000000-0005-0000-0000-0000A2040000}"/>
    <cellStyle name="40% - Accent3 16_Sheet1" xfId="1325" xr:uid="{00000000-0005-0000-0000-0000A3040000}"/>
    <cellStyle name="40% - Accent3 17" xfId="1326" xr:uid="{00000000-0005-0000-0000-0000A4040000}"/>
    <cellStyle name="40% - Accent3 17 2" xfId="1327" xr:uid="{00000000-0005-0000-0000-0000A5040000}"/>
    <cellStyle name="40% - Accent3 17 2 2" xfId="1328" xr:uid="{00000000-0005-0000-0000-0000A6040000}"/>
    <cellStyle name="40% - Accent3 17 3" xfId="1329" xr:uid="{00000000-0005-0000-0000-0000A7040000}"/>
    <cellStyle name="40% - Accent3 17_Sheet1" xfId="1330" xr:uid="{00000000-0005-0000-0000-0000A8040000}"/>
    <cellStyle name="40% - Accent3 18" xfId="1331" xr:uid="{00000000-0005-0000-0000-0000A9040000}"/>
    <cellStyle name="40% - Accent3 18 2" xfId="1332" xr:uid="{00000000-0005-0000-0000-0000AA040000}"/>
    <cellStyle name="40% - Accent3 18 2 2" xfId="1333" xr:uid="{00000000-0005-0000-0000-0000AB040000}"/>
    <cellStyle name="40% - Accent3 18 3" xfId="1334" xr:uid="{00000000-0005-0000-0000-0000AC040000}"/>
    <cellStyle name="40% - Accent3 18_Sheet1" xfId="1335" xr:uid="{00000000-0005-0000-0000-0000AD040000}"/>
    <cellStyle name="40% - Accent3 19" xfId="1336" xr:uid="{00000000-0005-0000-0000-0000AE040000}"/>
    <cellStyle name="40% - Accent3 2" xfId="1337" xr:uid="{00000000-0005-0000-0000-0000AF040000}"/>
    <cellStyle name="40% - Accent3 2 2" xfId="1338" xr:uid="{00000000-0005-0000-0000-0000B0040000}"/>
    <cellStyle name="40% - Accent3 2 2 2" xfId="1339" xr:uid="{00000000-0005-0000-0000-0000B1040000}"/>
    <cellStyle name="40% - Accent3 2 3" xfId="1340" xr:uid="{00000000-0005-0000-0000-0000B2040000}"/>
    <cellStyle name="40% - Accent3 2 3 2" xfId="1341" xr:uid="{00000000-0005-0000-0000-0000B3040000}"/>
    <cellStyle name="40% - Accent3 2 4" xfId="1342" xr:uid="{00000000-0005-0000-0000-0000B4040000}"/>
    <cellStyle name="40% - Accent3 2_Sheet1" xfId="1343" xr:uid="{00000000-0005-0000-0000-0000B5040000}"/>
    <cellStyle name="40% - Accent3 20" xfId="1344" xr:uid="{00000000-0005-0000-0000-0000B6040000}"/>
    <cellStyle name="40% - Accent3 21" xfId="1345" xr:uid="{00000000-0005-0000-0000-0000B7040000}"/>
    <cellStyle name="40% - Accent3 22" xfId="1346" xr:uid="{00000000-0005-0000-0000-0000B8040000}"/>
    <cellStyle name="40% - Accent3 23" xfId="1347" xr:uid="{00000000-0005-0000-0000-0000B9040000}"/>
    <cellStyle name="40% - Accent3 24" xfId="1348" xr:uid="{00000000-0005-0000-0000-0000BA040000}"/>
    <cellStyle name="40% - Accent3 25" xfId="1349" xr:uid="{00000000-0005-0000-0000-0000BB040000}"/>
    <cellStyle name="40% - Accent3 26" xfId="1350" xr:uid="{00000000-0005-0000-0000-0000BC040000}"/>
    <cellStyle name="40% - Accent3 27" xfId="1351" xr:uid="{00000000-0005-0000-0000-0000BD040000}"/>
    <cellStyle name="40% - Accent3 28" xfId="1352" xr:uid="{00000000-0005-0000-0000-0000BE040000}"/>
    <cellStyle name="40% - Accent3 29" xfId="1353" xr:uid="{00000000-0005-0000-0000-0000BF040000}"/>
    <cellStyle name="40% - Accent3 3" xfId="1354" xr:uid="{00000000-0005-0000-0000-0000C0040000}"/>
    <cellStyle name="40% - Accent3 3 2" xfId="1355" xr:uid="{00000000-0005-0000-0000-0000C1040000}"/>
    <cellStyle name="40% - Accent3 3 2 2" xfId="1356" xr:uid="{00000000-0005-0000-0000-0000C2040000}"/>
    <cellStyle name="40% - Accent3 3 3" xfId="1357" xr:uid="{00000000-0005-0000-0000-0000C3040000}"/>
    <cellStyle name="40% - Accent3 3_Sheet1" xfId="1358" xr:uid="{00000000-0005-0000-0000-0000C4040000}"/>
    <cellStyle name="40% - Accent3 30" xfId="1359" xr:uid="{00000000-0005-0000-0000-0000C5040000}"/>
    <cellStyle name="40% - Accent3 31" xfId="1360" xr:uid="{00000000-0005-0000-0000-0000C6040000}"/>
    <cellStyle name="40% - Accent3 32" xfId="1361" xr:uid="{00000000-0005-0000-0000-0000C7040000}"/>
    <cellStyle name="40% - Accent3 33" xfId="1362" xr:uid="{00000000-0005-0000-0000-0000C8040000}"/>
    <cellStyle name="40% - Accent3 34" xfId="1363" xr:uid="{00000000-0005-0000-0000-0000C9040000}"/>
    <cellStyle name="40% - Accent3 35" xfId="1364" xr:uid="{00000000-0005-0000-0000-0000CA040000}"/>
    <cellStyle name="40% - Accent3 36" xfId="1365" xr:uid="{00000000-0005-0000-0000-0000CB040000}"/>
    <cellStyle name="40% - Accent3 37" xfId="1366" xr:uid="{00000000-0005-0000-0000-0000CC040000}"/>
    <cellStyle name="40% - Accent3 38" xfId="1367" xr:uid="{00000000-0005-0000-0000-0000CD040000}"/>
    <cellStyle name="40% - Accent3 39" xfId="1368" xr:uid="{00000000-0005-0000-0000-0000CE040000}"/>
    <cellStyle name="40% - Accent3 4" xfId="1369" xr:uid="{00000000-0005-0000-0000-0000CF040000}"/>
    <cellStyle name="40% - Accent3 4 2" xfId="1370" xr:uid="{00000000-0005-0000-0000-0000D0040000}"/>
    <cellStyle name="40% - Accent3 4 2 2" xfId="1371" xr:uid="{00000000-0005-0000-0000-0000D1040000}"/>
    <cellStyle name="40% - Accent3 4 3" xfId="1372" xr:uid="{00000000-0005-0000-0000-0000D2040000}"/>
    <cellStyle name="40% - Accent3 4_Sheet1" xfId="1373" xr:uid="{00000000-0005-0000-0000-0000D3040000}"/>
    <cellStyle name="40% - Accent3 40" xfId="1374" xr:uid="{00000000-0005-0000-0000-0000D4040000}"/>
    <cellStyle name="40% - Accent3 41" xfId="1375" xr:uid="{00000000-0005-0000-0000-0000D5040000}"/>
    <cellStyle name="40% - Accent3 42" xfId="1376" xr:uid="{00000000-0005-0000-0000-0000D6040000}"/>
    <cellStyle name="40% - Accent3 43" xfId="1377" xr:uid="{00000000-0005-0000-0000-0000D7040000}"/>
    <cellStyle name="40% - Accent3 44" xfId="1378" xr:uid="{00000000-0005-0000-0000-0000D8040000}"/>
    <cellStyle name="40% - Accent3 45" xfId="1379" xr:uid="{00000000-0005-0000-0000-0000D9040000}"/>
    <cellStyle name="40% - Accent3 46" xfId="1380" xr:uid="{00000000-0005-0000-0000-0000DA040000}"/>
    <cellStyle name="40% - Accent3 47" xfId="1381" xr:uid="{00000000-0005-0000-0000-0000DB040000}"/>
    <cellStyle name="40% - Accent3 48" xfId="1382" xr:uid="{00000000-0005-0000-0000-0000DC040000}"/>
    <cellStyle name="40% - Accent3 49" xfId="1383" xr:uid="{00000000-0005-0000-0000-0000DD040000}"/>
    <cellStyle name="40% - Accent3 5" xfId="1384" xr:uid="{00000000-0005-0000-0000-0000DE040000}"/>
    <cellStyle name="40% - Accent3 5 2" xfId="1385" xr:uid="{00000000-0005-0000-0000-0000DF040000}"/>
    <cellStyle name="40% - Accent3 5 2 2" xfId="1386" xr:uid="{00000000-0005-0000-0000-0000E0040000}"/>
    <cellStyle name="40% - Accent3 5 3" xfId="1387" xr:uid="{00000000-0005-0000-0000-0000E1040000}"/>
    <cellStyle name="40% - Accent3 5_Sheet1" xfId="1388" xr:uid="{00000000-0005-0000-0000-0000E2040000}"/>
    <cellStyle name="40% - Accent3 50" xfId="1389" xr:uid="{00000000-0005-0000-0000-0000E3040000}"/>
    <cellStyle name="40% - Accent3 51" xfId="1390" xr:uid="{00000000-0005-0000-0000-0000E4040000}"/>
    <cellStyle name="40% - Accent3 52" xfId="1391" xr:uid="{00000000-0005-0000-0000-0000E5040000}"/>
    <cellStyle name="40% - Accent3 53" xfId="1392" xr:uid="{00000000-0005-0000-0000-0000E6040000}"/>
    <cellStyle name="40% - Accent3 54" xfId="1393" xr:uid="{00000000-0005-0000-0000-0000E7040000}"/>
    <cellStyle name="40% - Accent3 55" xfId="1394" xr:uid="{00000000-0005-0000-0000-0000E8040000}"/>
    <cellStyle name="40% - Accent3 56" xfId="1395" xr:uid="{00000000-0005-0000-0000-0000E9040000}"/>
    <cellStyle name="40% - Accent3 57" xfId="1396" xr:uid="{00000000-0005-0000-0000-0000EA040000}"/>
    <cellStyle name="40% - Accent3 58" xfId="1397" xr:uid="{00000000-0005-0000-0000-0000EB040000}"/>
    <cellStyle name="40% - Accent3 59" xfId="1398" xr:uid="{00000000-0005-0000-0000-0000EC040000}"/>
    <cellStyle name="40% - Accent3 6" xfId="1399" xr:uid="{00000000-0005-0000-0000-0000ED040000}"/>
    <cellStyle name="40% - Accent3 6 2" xfId="1400" xr:uid="{00000000-0005-0000-0000-0000EE040000}"/>
    <cellStyle name="40% - Accent3 6 2 2" xfId="1401" xr:uid="{00000000-0005-0000-0000-0000EF040000}"/>
    <cellStyle name="40% - Accent3 6 3" xfId="1402" xr:uid="{00000000-0005-0000-0000-0000F0040000}"/>
    <cellStyle name="40% - Accent3 6_Sheet1" xfId="1403" xr:uid="{00000000-0005-0000-0000-0000F1040000}"/>
    <cellStyle name="40% - Accent3 60" xfId="1404" xr:uid="{00000000-0005-0000-0000-0000F2040000}"/>
    <cellStyle name="40% - Accent3 61" xfId="1405" xr:uid="{00000000-0005-0000-0000-0000F3040000}"/>
    <cellStyle name="40% - Accent3 62" xfId="1406" xr:uid="{00000000-0005-0000-0000-0000F4040000}"/>
    <cellStyle name="40% - Accent3 63" xfId="1407" xr:uid="{00000000-0005-0000-0000-0000F5040000}"/>
    <cellStyle name="40% - Accent3 64" xfId="1408" xr:uid="{00000000-0005-0000-0000-0000F6040000}"/>
    <cellStyle name="40% - Accent3 65" xfId="1409" xr:uid="{00000000-0005-0000-0000-0000F7040000}"/>
    <cellStyle name="40% - Accent3 66" xfId="1410" xr:uid="{00000000-0005-0000-0000-0000F8040000}"/>
    <cellStyle name="40% - Accent3 67" xfId="1411" xr:uid="{00000000-0005-0000-0000-0000F9040000}"/>
    <cellStyle name="40% - Accent3 68" xfId="1412" xr:uid="{00000000-0005-0000-0000-0000FA040000}"/>
    <cellStyle name="40% - Accent3 69" xfId="1413" xr:uid="{00000000-0005-0000-0000-0000FB040000}"/>
    <cellStyle name="40% - Accent3 7" xfId="1414" xr:uid="{00000000-0005-0000-0000-0000FC040000}"/>
    <cellStyle name="40% - Accent3 7 2" xfId="1415" xr:uid="{00000000-0005-0000-0000-0000FD040000}"/>
    <cellStyle name="40% - Accent3 7 2 2" xfId="1416" xr:uid="{00000000-0005-0000-0000-0000FE040000}"/>
    <cellStyle name="40% - Accent3 7 3" xfId="1417" xr:uid="{00000000-0005-0000-0000-0000FF040000}"/>
    <cellStyle name="40% - Accent3 7_Sheet1" xfId="1418" xr:uid="{00000000-0005-0000-0000-000000050000}"/>
    <cellStyle name="40% - Accent3 70" xfId="1419" xr:uid="{00000000-0005-0000-0000-000001050000}"/>
    <cellStyle name="40% - Accent3 71" xfId="1420" xr:uid="{00000000-0005-0000-0000-000002050000}"/>
    <cellStyle name="40% - Accent3 8" xfId="1421" xr:uid="{00000000-0005-0000-0000-000003050000}"/>
    <cellStyle name="40% - Accent3 8 2" xfId="1422" xr:uid="{00000000-0005-0000-0000-000004050000}"/>
    <cellStyle name="40% - Accent3 8 2 2" xfId="1423" xr:uid="{00000000-0005-0000-0000-000005050000}"/>
    <cellStyle name="40% - Accent3 8 3" xfId="1424" xr:uid="{00000000-0005-0000-0000-000006050000}"/>
    <cellStyle name="40% - Accent3 8_Sheet1" xfId="1425" xr:uid="{00000000-0005-0000-0000-000007050000}"/>
    <cellStyle name="40% - Accent3 9" xfId="1426" xr:uid="{00000000-0005-0000-0000-000008050000}"/>
    <cellStyle name="40% - Accent3 9 2" xfId="1427" xr:uid="{00000000-0005-0000-0000-000009050000}"/>
    <cellStyle name="40% - Accent3 9 2 2" xfId="1428" xr:uid="{00000000-0005-0000-0000-00000A050000}"/>
    <cellStyle name="40% - Accent3 9 3" xfId="1429" xr:uid="{00000000-0005-0000-0000-00000B050000}"/>
    <cellStyle name="40% - Accent3 9_Sheet1" xfId="1430" xr:uid="{00000000-0005-0000-0000-00000C050000}"/>
    <cellStyle name="40% - Accent4 10" xfId="1431" xr:uid="{00000000-0005-0000-0000-00000E050000}"/>
    <cellStyle name="40% - Accent4 10 2" xfId="1432" xr:uid="{00000000-0005-0000-0000-00000F050000}"/>
    <cellStyle name="40% - Accent4 10 2 2" xfId="1433" xr:uid="{00000000-0005-0000-0000-000010050000}"/>
    <cellStyle name="40% - Accent4 10 3" xfId="1434" xr:uid="{00000000-0005-0000-0000-000011050000}"/>
    <cellStyle name="40% - Accent4 10_Sheet1" xfId="1435" xr:uid="{00000000-0005-0000-0000-000012050000}"/>
    <cellStyle name="40% - Accent4 11" xfId="1436" xr:uid="{00000000-0005-0000-0000-000013050000}"/>
    <cellStyle name="40% - Accent4 11 2" xfId="1437" xr:uid="{00000000-0005-0000-0000-000014050000}"/>
    <cellStyle name="40% - Accent4 11 2 2" xfId="1438" xr:uid="{00000000-0005-0000-0000-000015050000}"/>
    <cellStyle name="40% - Accent4 11 3" xfId="1439" xr:uid="{00000000-0005-0000-0000-000016050000}"/>
    <cellStyle name="40% - Accent4 11_Sheet1" xfId="1440" xr:uid="{00000000-0005-0000-0000-000017050000}"/>
    <cellStyle name="40% - Accent4 12" xfId="1441" xr:uid="{00000000-0005-0000-0000-000018050000}"/>
    <cellStyle name="40% - Accent4 12 2" xfId="1442" xr:uid="{00000000-0005-0000-0000-000019050000}"/>
    <cellStyle name="40% - Accent4 12 2 2" xfId="1443" xr:uid="{00000000-0005-0000-0000-00001A050000}"/>
    <cellStyle name="40% - Accent4 12 3" xfId="1444" xr:uid="{00000000-0005-0000-0000-00001B050000}"/>
    <cellStyle name="40% - Accent4 12_Sheet1" xfId="1445" xr:uid="{00000000-0005-0000-0000-00001C050000}"/>
    <cellStyle name="40% - Accent4 13" xfId="1446" xr:uid="{00000000-0005-0000-0000-00001D050000}"/>
    <cellStyle name="40% - Accent4 13 2" xfId="1447" xr:uid="{00000000-0005-0000-0000-00001E050000}"/>
    <cellStyle name="40% - Accent4 13 2 2" xfId="1448" xr:uid="{00000000-0005-0000-0000-00001F050000}"/>
    <cellStyle name="40% - Accent4 13 3" xfId="1449" xr:uid="{00000000-0005-0000-0000-000020050000}"/>
    <cellStyle name="40% - Accent4 13_Sheet1" xfId="1450" xr:uid="{00000000-0005-0000-0000-000021050000}"/>
    <cellStyle name="40% - Accent4 14" xfId="1451" xr:uid="{00000000-0005-0000-0000-000022050000}"/>
    <cellStyle name="40% - Accent4 14 2" xfId="1452" xr:uid="{00000000-0005-0000-0000-000023050000}"/>
    <cellStyle name="40% - Accent4 14 2 2" xfId="1453" xr:uid="{00000000-0005-0000-0000-000024050000}"/>
    <cellStyle name="40% - Accent4 14 3" xfId="1454" xr:uid="{00000000-0005-0000-0000-000025050000}"/>
    <cellStyle name="40% - Accent4 14_Sheet1" xfId="1455" xr:uid="{00000000-0005-0000-0000-000026050000}"/>
    <cellStyle name="40% - Accent4 15" xfId="1456" xr:uid="{00000000-0005-0000-0000-000027050000}"/>
    <cellStyle name="40% - Accent4 15 2" xfId="1457" xr:uid="{00000000-0005-0000-0000-000028050000}"/>
    <cellStyle name="40% - Accent4 15 2 2" xfId="1458" xr:uid="{00000000-0005-0000-0000-000029050000}"/>
    <cellStyle name="40% - Accent4 15 3" xfId="1459" xr:uid="{00000000-0005-0000-0000-00002A050000}"/>
    <cellStyle name="40% - Accent4 15_Sheet1" xfId="1460" xr:uid="{00000000-0005-0000-0000-00002B050000}"/>
    <cellStyle name="40% - Accent4 16" xfId="1461" xr:uid="{00000000-0005-0000-0000-00002C050000}"/>
    <cellStyle name="40% - Accent4 16 2" xfId="1462" xr:uid="{00000000-0005-0000-0000-00002D050000}"/>
    <cellStyle name="40% - Accent4 16 2 2" xfId="1463" xr:uid="{00000000-0005-0000-0000-00002E050000}"/>
    <cellStyle name="40% - Accent4 16 3" xfId="1464" xr:uid="{00000000-0005-0000-0000-00002F050000}"/>
    <cellStyle name="40% - Accent4 16_Sheet1" xfId="1465" xr:uid="{00000000-0005-0000-0000-000030050000}"/>
    <cellStyle name="40% - Accent4 17" xfId="1466" xr:uid="{00000000-0005-0000-0000-000031050000}"/>
    <cellStyle name="40% - Accent4 17 2" xfId="1467" xr:uid="{00000000-0005-0000-0000-000032050000}"/>
    <cellStyle name="40% - Accent4 17 2 2" xfId="1468" xr:uid="{00000000-0005-0000-0000-000033050000}"/>
    <cellStyle name="40% - Accent4 17 3" xfId="1469" xr:uid="{00000000-0005-0000-0000-000034050000}"/>
    <cellStyle name="40% - Accent4 17_Sheet1" xfId="1470" xr:uid="{00000000-0005-0000-0000-000035050000}"/>
    <cellStyle name="40% - Accent4 18" xfId="1471" xr:uid="{00000000-0005-0000-0000-000036050000}"/>
    <cellStyle name="40% - Accent4 18 2" xfId="1472" xr:uid="{00000000-0005-0000-0000-000037050000}"/>
    <cellStyle name="40% - Accent4 18 2 2" xfId="1473" xr:uid="{00000000-0005-0000-0000-000038050000}"/>
    <cellStyle name="40% - Accent4 18 3" xfId="1474" xr:uid="{00000000-0005-0000-0000-000039050000}"/>
    <cellStyle name="40% - Accent4 18_Sheet1" xfId="1475" xr:uid="{00000000-0005-0000-0000-00003A050000}"/>
    <cellStyle name="40% - Accent4 19" xfId="1476" xr:uid="{00000000-0005-0000-0000-00003B050000}"/>
    <cellStyle name="40% - Accent4 2" xfId="1477" xr:uid="{00000000-0005-0000-0000-00003C050000}"/>
    <cellStyle name="40% - Accent4 2 2" xfId="1478" xr:uid="{00000000-0005-0000-0000-00003D050000}"/>
    <cellStyle name="40% - Accent4 2 2 2" xfId="1479" xr:uid="{00000000-0005-0000-0000-00003E050000}"/>
    <cellStyle name="40% - Accent4 2 3" xfId="1480" xr:uid="{00000000-0005-0000-0000-00003F050000}"/>
    <cellStyle name="40% - Accent4 2 3 2" xfId="1481" xr:uid="{00000000-0005-0000-0000-000040050000}"/>
    <cellStyle name="40% - Accent4 2 4" xfId="1482" xr:uid="{00000000-0005-0000-0000-000041050000}"/>
    <cellStyle name="40% - Accent4 2_Sheet1" xfId="1483" xr:uid="{00000000-0005-0000-0000-000042050000}"/>
    <cellStyle name="40% - Accent4 20" xfId="1484" xr:uid="{00000000-0005-0000-0000-000043050000}"/>
    <cellStyle name="40% - Accent4 21" xfId="1485" xr:uid="{00000000-0005-0000-0000-000044050000}"/>
    <cellStyle name="40% - Accent4 22" xfId="1486" xr:uid="{00000000-0005-0000-0000-000045050000}"/>
    <cellStyle name="40% - Accent4 23" xfId="1487" xr:uid="{00000000-0005-0000-0000-000046050000}"/>
    <cellStyle name="40% - Accent4 24" xfId="1488" xr:uid="{00000000-0005-0000-0000-000047050000}"/>
    <cellStyle name="40% - Accent4 25" xfId="1489" xr:uid="{00000000-0005-0000-0000-000048050000}"/>
    <cellStyle name="40% - Accent4 26" xfId="1490" xr:uid="{00000000-0005-0000-0000-000049050000}"/>
    <cellStyle name="40% - Accent4 27" xfId="1491" xr:uid="{00000000-0005-0000-0000-00004A050000}"/>
    <cellStyle name="40% - Accent4 28" xfId="1492" xr:uid="{00000000-0005-0000-0000-00004B050000}"/>
    <cellStyle name="40% - Accent4 29" xfId="1493" xr:uid="{00000000-0005-0000-0000-00004C050000}"/>
    <cellStyle name="40% - Accent4 3" xfId="1494" xr:uid="{00000000-0005-0000-0000-00004D050000}"/>
    <cellStyle name="40% - Accent4 3 2" xfId="1495" xr:uid="{00000000-0005-0000-0000-00004E050000}"/>
    <cellStyle name="40% - Accent4 3 2 2" xfId="1496" xr:uid="{00000000-0005-0000-0000-00004F050000}"/>
    <cellStyle name="40% - Accent4 3 3" xfId="1497" xr:uid="{00000000-0005-0000-0000-000050050000}"/>
    <cellStyle name="40% - Accent4 3_Sheet1" xfId="1498" xr:uid="{00000000-0005-0000-0000-000051050000}"/>
    <cellStyle name="40% - Accent4 30" xfId="1499" xr:uid="{00000000-0005-0000-0000-000052050000}"/>
    <cellStyle name="40% - Accent4 31" xfId="1500" xr:uid="{00000000-0005-0000-0000-000053050000}"/>
    <cellStyle name="40% - Accent4 32" xfId="1501" xr:uid="{00000000-0005-0000-0000-000054050000}"/>
    <cellStyle name="40% - Accent4 33" xfId="1502" xr:uid="{00000000-0005-0000-0000-000055050000}"/>
    <cellStyle name="40% - Accent4 34" xfId="1503" xr:uid="{00000000-0005-0000-0000-000056050000}"/>
    <cellStyle name="40% - Accent4 35" xfId="1504" xr:uid="{00000000-0005-0000-0000-000057050000}"/>
    <cellStyle name="40% - Accent4 36" xfId="1505" xr:uid="{00000000-0005-0000-0000-000058050000}"/>
    <cellStyle name="40% - Accent4 37" xfId="1506" xr:uid="{00000000-0005-0000-0000-000059050000}"/>
    <cellStyle name="40% - Accent4 38" xfId="1507" xr:uid="{00000000-0005-0000-0000-00005A050000}"/>
    <cellStyle name="40% - Accent4 39" xfId="1508" xr:uid="{00000000-0005-0000-0000-00005B050000}"/>
    <cellStyle name="40% - Accent4 4" xfId="1509" xr:uid="{00000000-0005-0000-0000-00005C050000}"/>
    <cellStyle name="40% - Accent4 4 2" xfId="1510" xr:uid="{00000000-0005-0000-0000-00005D050000}"/>
    <cellStyle name="40% - Accent4 4 2 2" xfId="1511" xr:uid="{00000000-0005-0000-0000-00005E050000}"/>
    <cellStyle name="40% - Accent4 4 3" xfId="1512" xr:uid="{00000000-0005-0000-0000-00005F050000}"/>
    <cellStyle name="40% - Accent4 4_Sheet1" xfId="1513" xr:uid="{00000000-0005-0000-0000-000060050000}"/>
    <cellStyle name="40% - Accent4 40" xfId="1514" xr:uid="{00000000-0005-0000-0000-000061050000}"/>
    <cellStyle name="40% - Accent4 41" xfId="1515" xr:uid="{00000000-0005-0000-0000-000062050000}"/>
    <cellStyle name="40% - Accent4 42" xfId="1516" xr:uid="{00000000-0005-0000-0000-000063050000}"/>
    <cellStyle name="40% - Accent4 43" xfId="1517" xr:uid="{00000000-0005-0000-0000-000064050000}"/>
    <cellStyle name="40% - Accent4 44" xfId="1518" xr:uid="{00000000-0005-0000-0000-000065050000}"/>
    <cellStyle name="40% - Accent4 45" xfId="1519" xr:uid="{00000000-0005-0000-0000-000066050000}"/>
    <cellStyle name="40% - Accent4 46" xfId="1520" xr:uid="{00000000-0005-0000-0000-000067050000}"/>
    <cellStyle name="40% - Accent4 47" xfId="1521" xr:uid="{00000000-0005-0000-0000-000068050000}"/>
    <cellStyle name="40% - Accent4 48" xfId="1522" xr:uid="{00000000-0005-0000-0000-000069050000}"/>
    <cellStyle name="40% - Accent4 49" xfId="1523" xr:uid="{00000000-0005-0000-0000-00006A050000}"/>
    <cellStyle name="40% - Accent4 5" xfId="1524" xr:uid="{00000000-0005-0000-0000-00006B050000}"/>
    <cellStyle name="40% - Accent4 5 2" xfId="1525" xr:uid="{00000000-0005-0000-0000-00006C050000}"/>
    <cellStyle name="40% - Accent4 5 2 2" xfId="1526" xr:uid="{00000000-0005-0000-0000-00006D050000}"/>
    <cellStyle name="40% - Accent4 5 3" xfId="1527" xr:uid="{00000000-0005-0000-0000-00006E050000}"/>
    <cellStyle name="40% - Accent4 5_Sheet1" xfId="1528" xr:uid="{00000000-0005-0000-0000-00006F050000}"/>
    <cellStyle name="40% - Accent4 50" xfId="1529" xr:uid="{00000000-0005-0000-0000-000070050000}"/>
    <cellStyle name="40% - Accent4 51" xfId="1530" xr:uid="{00000000-0005-0000-0000-000071050000}"/>
    <cellStyle name="40% - Accent4 52" xfId="1531" xr:uid="{00000000-0005-0000-0000-000072050000}"/>
    <cellStyle name="40% - Accent4 53" xfId="1532" xr:uid="{00000000-0005-0000-0000-000073050000}"/>
    <cellStyle name="40% - Accent4 54" xfId="1533" xr:uid="{00000000-0005-0000-0000-000074050000}"/>
    <cellStyle name="40% - Accent4 55" xfId="1534" xr:uid="{00000000-0005-0000-0000-000075050000}"/>
    <cellStyle name="40% - Accent4 56" xfId="1535" xr:uid="{00000000-0005-0000-0000-000076050000}"/>
    <cellStyle name="40% - Accent4 57" xfId="1536" xr:uid="{00000000-0005-0000-0000-000077050000}"/>
    <cellStyle name="40% - Accent4 58" xfId="1537" xr:uid="{00000000-0005-0000-0000-000078050000}"/>
    <cellStyle name="40% - Accent4 59" xfId="1538" xr:uid="{00000000-0005-0000-0000-000079050000}"/>
    <cellStyle name="40% - Accent4 6" xfId="1539" xr:uid="{00000000-0005-0000-0000-00007A050000}"/>
    <cellStyle name="40% - Accent4 6 2" xfId="1540" xr:uid="{00000000-0005-0000-0000-00007B050000}"/>
    <cellStyle name="40% - Accent4 6 2 2" xfId="1541" xr:uid="{00000000-0005-0000-0000-00007C050000}"/>
    <cellStyle name="40% - Accent4 6 3" xfId="1542" xr:uid="{00000000-0005-0000-0000-00007D050000}"/>
    <cellStyle name="40% - Accent4 6_Sheet1" xfId="1543" xr:uid="{00000000-0005-0000-0000-00007E050000}"/>
    <cellStyle name="40% - Accent4 60" xfId="1544" xr:uid="{00000000-0005-0000-0000-00007F050000}"/>
    <cellStyle name="40% - Accent4 61" xfId="1545" xr:uid="{00000000-0005-0000-0000-000080050000}"/>
    <cellStyle name="40% - Accent4 62" xfId="1546" xr:uid="{00000000-0005-0000-0000-000081050000}"/>
    <cellStyle name="40% - Accent4 63" xfId="1547" xr:uid="{00000000-0005-0000-0000-000082050000}"/>
    <cellStyle name="40% - Accent4 64" xfId="1548" xr:uid="{00000000-0005-0000-0000-000083050000}"/>
    <cellStyle name="40% - Accent4 65" xfId="1549" xr:uid="{00000000-0005-0000-0000-000084050000}"/>
    <cellStyle name="40% - Accent4 66" xfId="1550" xr:uid="{00000000-0005-0000-0000-000085050000}"/>
    <cellStyle name="40% - Accent4 67" xfId="1551" xr:uid="{00000000-0005-0000-0000-000086050000}"/>
    <cellStyle name="40% - Accent4 68" xfId="1552" xr:uid="{00000000-0005-0000-0000-000087050000}"/>
    <cellStyle name="40% - Accent4 69" xfId="1553" xr:uid="{00000000-0005-0000-0000-000088050000}"/>
    <cellStyle name="40% - Accent4 7" xfId="1554" xr:uid="{00000000-0005-0000-0000-000089050000}"/>
    <cellStyle name="40% - Accent4 7 2" xfId="1555" xr:uid="{00000000-0005-0000-0000-00008A050000}"/>
    <cellStyle name="40% - Accent4 7 2 2" xfId="1556" xr:uid="{00000000-0005-0000-0000-00008B050000}"/>
    <cellStyle name="40% - Accent4 7 3" xfId="1557" xr:uid="{00000000-0005-0000-0000-00008C050000}"/>
    <cellStyle name="40% - Accent4 7_Sheet1" xfId="1558" xr:uid="{00000000-0005-0000-0000-00008D050000}"/>
    <cellStyle name="40% - Accent4 70" xfId="1559" xr:uid="{00000000-0005-0000-0000-00008E050000}"/>
    <cellStyle name="40% - Accent4 71" xfId="1560" xr:uid="{00000000-0005-0000-0000-00008F050000}"/>
    <cellStyle name="40% - Accent4 8" xfId="1561" xr:uid="{00000000-0005-0000-0000-000090050000}"/>
    <cellStyle name="40% - Accent4 8 2" xfId="1562" xr:uid="{00000000-0005-0000-0000-000091050000}"/>
    <cellStyle name="40% - Accent4 8 2 2" xfId="1563" xr:uid="{00000000-0005-0000-0000-000092050000}"/>
    <cellStyle name="40% - Accent4 8 3" xfId="1564" xr:uid="{00000000-0005-0000-0000-000093050000}"/>
    <cellStyle name="40% - Accent4 8_Sheet1" xfId="1565" xr:uid="{00000000-0005-0000-0000-000094050000}"/>
    <cellStyle name="40% - Accent4 9" xfId="1566" xr:uid="{00000000-0005-0000-0000-000095050000}"/>
    <cellStyle name="40% - Accent4 9 2" xfId="1567" xr:uid="{00000000-0005-0000-0000-000096050000}"/>
    <cellStyle name="40% - Accent4 9 2 2" xfId="1568" xr:uid="{00000000-0005-0000-0000-000097050000}"/>
    <cellStyle name="40% - Accent4 9 3" xfId="1569" xr:uid="{00000000-0005-0000-0000-000098050000}"/>
    <cellStyle name="40% - Accent4 9_Sheet1" xfId="1570" xr:uid="{00000000-0005-0000-0000-000099050000}"/>
    <cellStyle name="40% - Accent5 10" xfId="1571" xr:uid="{00000000-0005-0000-0000-00009B050000}"/>
    <cellStyle name="40% - Accent5 10 2" xfId="1572" xr:uid="{00000000-0005-0000-0000-00009C050000}"/>
    <cellStyle name="40% - Accent5 10 2 2" xfId="1573" xr:uid="{00000000-0005-0000-0000-00009D050000}"/>
    <cellStyle name="40% - Accent5 10 3" xfId="1574" xr:uid="{00000000-0005-0000-0000-00009E050000}"/>
    <cellStyle name="40% - Accent5 10_Sheet1" xfId="1575" xr:uid="{00000000-0005-0000-0000-00009F050000}"/>
    <cellStyle name="40% - Accent5 11" xfId="1576" xr:uid="{00000000-0005-0000-0000-0000A0050000}"/>
    <cellStyle name="40% - Accent5 11 2" xfId="1577" xr:uid="{00000000-0005-0000-0000-0000A1050000}"/>
    <cellStyle name="40% - Accent5 11 2 2" xfId="1578" xr:uid="{00000000-0005-0000-0000-0000A2050000}"/>
    <cellStyle name="40% - Accent5 11 3" xfId="1579" xr:uid="{00000000-0005-0000-0000-0000A3050000}"/>
    <cellStyle name="40% - Accent5 11_Sheet1" xfId="1580" xr:uid="{00000000-0005-0000-0000-0000A4050000}"/>
    <cellStyle name="40% - Accent5 12" xfId="1581" xr:uid="{00000000-0005-0000-0000-0000A5050000}"/>
    <cellStyle name="40% - Accent5 12 2" xfId="1582" xr:uid="{00000000-0005-0000-0000-0000A6050000}"/>
    <cellStyle name="40% - Accent5 12 2 2" xfId="1583" xr:uid="{00000000-0005-0000-0000-0000A7050000}"/>
    <cellStyle name="40% - Accent5 12 3" xfId="1584" xr:uid="{00000000-0005-0000-0000-0000A8050000}"/>
    <cellStyle name="40% - Accent5 12_Sheet1" xfId="1585" xr:uid="{00000000-0005-0000-0000-0000A9050000}"/>
    <cellStyle name="40% - Accent5 13" xfId="1586" xr:uid="{00000000-0005-0000-0000-0000AA050000}"/>
    <cellStyle name="40% - Accent5 13 2" xfId="1587" xr:uid="{00000000-0005-0000-0000-0000AB050000}"/>
    <cellStyle name="40% - Accent5 13 2 2" xfId="1588" xr:uid="{00000000-0005-0000-0000-0000AC050000}"/>
    <cellStyle name="40% - Accent5 13 3" xfId="1589" xr:uid="{00000000-0005-0000-0000-0000AD050000}"/>
    <cellStyle name="40% - Accent5 13_Sheet1" xfId="1590" xr:uid="{00000000-0005-0000-0000-0000AE050000}"/>
    <cellStyle name="40% - Accent5 14" xfId="1591" xr:uid="{00000000-0005-0000-0000-0000AF050000}"/>
    <cellStyle name="40% - Accent5 14 2" xfId="1592" xr:uid="{00000000-0005-0000-0000-0000B0050000}"/>
    <cellStyle name="40% - Accent5 14 2 2" xfId="1593" xr:uid="{00000000-0005-0000-0000-0000B1050000}"/>
    <cellStyle name="40% - Accent5 14 3" xfId="1594" xr:uid="{00000000-0005-0000-0000-0000B2050000}"/>
    <cellStyle name="40% - Accent5 14_Sheet1" xfId="1595" xr:uid="{00000000-0005-0000-0000-0000B3050000}"/>
    <cellStyle name="40% - Accent5 15" xfId="1596" xr:uid="{00000000-0005-0000-0000-0000B4050000}"/>
    <cellStyle name="40% - Accent5 15 2" xfId="1597" xr:uid="{00000000-0005-0000-0000-0000B5050000}"/>
    <cellStyle name="40% - Accent5 15 2 2" xfId="1598" xr:uid="{00000000-0005-0000-0000-0000B6050000}"/>
    <cellStyle name="40% - Accent5 15 3" xfId="1599" xr:uid="{00000000-0005-0000-0000-0000B7050000}"/>
    <cellStyle name="40% - Accent5 15_Sheet1" xfId="1600" xr:uid="{00000000-0005-0000-0000-0000B8050000}"/>
    <cellStyle name="40% - Accent5 16" xfId="1601" xr:uid="{00000000-0005-0000-0000-0000B9050000}"/>
    <cellStyle name="40% - Accent5 16 2" xfId="1602" xr:uid="{00000000-0005-0000-0000-0000BA050000}"/>
    <cellStyle name="40% - Accent5 16 2 2" xfId="1603" xr:uid="{00000000-0005-0000-0000-0000BB050000}"/>
    <cellStyle name="40% - Accent5 16 3" xfId="1604" xr:uid="{00000000-0005-0000-0000-0000BC050000}"/>
    <cellStyle name="40% - Accent5 16_Sheet1" xfId="1605" xr:uid="{00000000-0005-0000-0000-0000BD050000}"/>
    <cellStyle name="40% - Accent5 17" xfId="1606" xr:uid="{00000000-0005-0000-0000-0000BE050000}"/>
    <cellStyle name="40% - Accent5 17 2" xfId="1607" xr:uid="{00000000-0005-0000-0000-0000BF050000}"/>
    <cellStyle name="40% - Accent5 17 2 2" xfId="1608" xr:uid="{00000000-0005-0000-0000-0000C0050000}"/>
    <cellStyle name="40% - Accent5 17 3" xfId="1609" xr:uid="{00000000-0005-0000-0000-0000C1050000}"/>
    <cellStyle name="40% - Accent5 17_Sheet1" xfId="1610" xr:uid="{00000000-0005-0000-0000-0000C2050000}"/>
    <cellStyle name="40% - Accent5 18" xfId="1611" xr:uid="{00000000-0005-0000-0000-0000C3050000}"/>
    <cellStyle name="40% - Accent5 18 2" xfId="1612" xr:uid="{00000000-0005-0000-0000-0000C4050000}"/>
    <cellStyle name="40% - Accent5 18 2 2" xfId="1613" xr:uid="{00000000-0005-0000-0000-0000C5050000}"/>
    <cellStyle name="40% - Accent5 18 3" xfId="1614" xr:uid="{00000000-0005-0000-0000-0000C6050000}"/>
    <cellStyle name="40% - Accent5 18_Sheet1" xfId="1615" xr:uid="{00000000-0005-0000-0000-0000C7050000}"/>
    <cellStyle name="40% - Accent5 19" xfId="1616" xr:uid="{00000000-0005-0000-0000-0000C8050000}"/>
    <cellStyle name="40% - Accent5 2" xfId="1617" xr:uid="{00000000-0005-0000-0000-0000C9050000}"/>
    <cellStyle name="40% - Accent5 2 2" xfId="1618" xr:uid="{00000000-0005-0000-0000-0000CA050000}"/>
    <cellStyle name="40% - Accent5 2 2 2" xfId="1619" xr:uid="{00000000-0005-0000-0000-0000CB050000}"/>
    <cellStyle name="40% - Accent5 2 3" xfId="1620" xr:uid="{00000000-0005-0000-0000-0000CC050000}"/>
    <cellStyle name="40% - Accent5 2 3 2" xfId="1621" xr:uid="{00000000-0005-0000-0000-0000CD050000}"/>
    <cellStyle name="40% - Accent5 2 4" xfId="1622" xr:uid="{00000000-0005-0000-0000-0000CE050000}"/>
    <cellStyle name="40% - Accent5 2_Sheet1" xfId="1623" xr:uid="{00000000-0005-0000-0000-0000CF050000}"/>
    <cellStyle name="40% - Accent5 20" xfId="1624" xr:uid="{00000000-0005-0000-0000-0000D0050000}"/>
    <cellStyle name="40% - Accent5 21" xfId="1625" xr:uid="{00000000-0005-0000-0000-0000D1050000}"/>
    <cellStyle name="40% - Accent5 22" xfId="1626" xr:uid="{00000000-0005-0000-0000-0000D2050000}"/>
    <cellStyle name="40% - Accent5 23" xfId="1627" xr:uid="{00000000-0005-0000-0000-0000D3050000}"/>
    <cellStyle name="40% - Accent5 24" xfId="1628" xr:uid="{00000000-0005-0000-0000-0000D4050000}"/>
    <cellStyle name="40% - Accent5 25" xfId="1629" xr:uid="{00000000-0005-0000-0000-0000D5050000}"/>
    <cellStyle name="40% - Accent5 26" xfId="1630" xr:uid="{00000000-0005-0000-0000-0000D6050000}"/>
    <cellStyle name="40% - Accent5 27" xfId="1631" xr:uid="{00000000-0005-0000-0000-0000D7050000}"/>
    <cellStyle name="40% - Accent5 28" xfId="1632" xr:uid="{00000000-0005-0000-0000-0000D8050000}"/>
    <cellStyle name="40% - Accent5 29" xfId="1633" xr:uid="{00000000-0005-0000-0000-0000D9050000}"/>
    <cellStyle name="40% - Accent5 3" xfId="1634" xr:uid="{00000000-0005-0000-0000-0000DA050000}"/>
    <cellStyle name="40% - Accent5 3 2" xfId="1635" xr:uid="{00000000-0005-0000-0000-0000DB050000}"/>
    <cellStyle name="40% - Accent5 3 2 2" xfId="1636" xr:uid="{00000000-0005-0000-0000-0000DC050000}"/>
    <cellStyle name="40% - Accent5 3 3" xfId="1637" xr:uid="{00000000-0005-0000-0000-0000DD050000}"/>
    <cellStyle name="40% - Accent5 3_Sheet1" xfId="1638" xr:uid="{00000000-0005-0000-0000-0000DE050000}"/>
    <cellStyle name="40% - Accent5 30" xfId="1639" xr:uid="{00000000-0005-0000-0000-0000DF050000}"/>
    <cellStyle name="40% - Accent5 31" xfId="1640" xr:uid="{00000000-0005-0000-0000-0000E0050000}"/>
    <cellStyle name="40% - Accent5 32" xfId="1641" xr:uid="{00000000-0005-0000-0000-0000E1050000}"/>
    <cellStyle name="40% - Accent5 33" xfId="1642" xr:uid="{00000000-0005-0000-0000-0000E2050000}"/>
    <cellStyle name="40% - Accent5 34" xfId="1643" xr:uid="{00000000-0005-0000-0000-0000E3050000}"/>
    <cellStyle name="40% - Accent5 35" xfId="1644" xr:uid="{00000000-0005-0000-0000-0000E4050000}"/>
    <cellStyle name="40% - Accent5 36" xfId="1645" xr:uid="{00000000-0005-0000-0000-0000E5050000}"/>
    <cellStyle name="40% - Accent5 37" xfId="1646" xr:uid="{00000000-0005-0000-0000-0000E6050000}"/>
    <cellStyle name="40% - Accent5 38" xfId="1647" xr:uid="{00000000-0005-0000-0000-0000E7050000}"/>
    <cellStyle name="40% - Accent5 39" xfId="1648" xr:uid="{00000000-0005-0000-0000-0000E8050000}"/>
    <cellStyle name="40% - Accent5 4" xfId="1649" xr:uid="{00000000-0005-0000-0000-0000E9050000}"/>
    <cellStyle name="40% - Accent5 4 2" xfId="1650" xr:uid="{00000000-0005-0000-0000-0000EA050000}"/>
    <cellStyle name="40% - Accent5 4 2 2" xfId="1651" xr:uid="{00000000-0005-0000-0000-0000EB050000}"/>
    <cellStyle name="40% - Accent5 4 3" xfId="1652" xr:uid="{00000000-0005-0000-0000-0000EC050000}"/>
    <cellStyle name="40% - Accent5 4_Sheet1" xfId="1653" xr:uid="{00000000-0005-0000-0000-0000ED050000}"/>
    <cellStyle name="40% - Accent5 40" xfId="1654" xr:uid="{00000000-0005-0000-0000-0000EE050000}"/>
    <cellStyle name="40% - Accent5 41" xfId="1655" xr:uid="{00000000-0005-0000-0000-0000EF050000}"/>
    <cellStyle name="40% - Accent5 42" xfId="1656" xr:uid="{00000000-0005-0000-0000-0000F0050000}"/>
    <cellStyle name="40% - Accent5 43" xfId="1657" xr:uid="{00000000-0005-0000-0000-0000F1050000}"/>
    <cellStyle name="40% - Accent5 44" xfId="1658" xr:uid="{00000000-0005-0000-0000-0000F2050000}"/>
    <cellStyle name="40% - Accent5 45" xfId="1659" xr:uid="{00000000-0005-0000-0000-0000F3050000}"/>
    <cellStyle name="40% - Accent5 46" xfId="1660" xr:uid="{00000000-0005-0000-0000-0000F4050000}"/>
    <cellStyle name="40% - Accent5 47" xfId="1661" xr:uid="{00000000-0005-0000-0000-0000F5050000}"/>
    <cellStyle name="40% - Accent5 48" xfId="1662" xr:uid="{00000000-0005-0000-0000-0000F6050000}"/>
    <cellStyle name="40% - Accent5 49" xfId="1663" xr:uid="{00000000-0005-0000-0000-0000F7050000}"/>
    <cellStyle name="40% - Accent5 5" xfId="1664" xr:uid="{00000000-0005-0000-0000-0000F8050000}"/>
    <cellStyle name="40% - Accent5 5 2" xfId="1665" xr:uid="{00000000-0005-0000-0000-0000F9050000}"/>
    <cellStyle name="40% - Accent5 5 2 2" xfId="1666" xr:uid="{00000000-0005-0000-0000-0000FA050000}"/>
    <cellStyle name="40% - Accent5 5 3" xfId="1667" xr:uid="{00000000-0005-0000-0000-0000FB050000}"/>
    <cellStyle name="40% - Accent5 5_Sheet1" xfId="1668" xr:uid="{00000000-0005-0000-0000-0000FC050000}"/>
    <cellStyle name="40% - Accent5 50" xfId="1669" xr:uid="{00000000-0005-0000-0000-0000FD050000}"/>
    <cellStyle name="40% - Accent5 51" xfId="1670" xr:uid="{00000000-0005-0000-0000-0000FE050000}"/>
    <cellStyle name="40% - Accent5 52" xfId="1671" xr:uid="{00000000-0005-0000-0000-0000FF050000}"/>
    <cellStyle name="40% - Accent5 53" xfId="1672" xr:uid="{00000000-0005-0000-0000-000000060000}"/>
    <cellStyle name="40% - Accent5 54" xfId="1673" xr:uid="{00000000-0005-0000-0000-000001060000}"/>
    <cellStyle name="40% - Accent5 55" xfId="1674" xr:uid="{00000000-0005-0000-0000-000002060000}"/>
    <cellStyle name="40% - Accent5 56" xfId="1675" xr:uid="{00000000-0005-0000-0000-000003060000}"/>
    <cellStyle name="40% - Accent5 57" xfId="1676" xr:uid="{00000000-0005-0000-0000-000004060000}"/>
    <cellStyle name="40% - Accent5 58" xfId="1677" xr:uid="{00000000-0005-0000-0000-000005060000}"/>
    <cellStyle name="40% - Accent5 59" xfId="1678" xr:uid="{00000000-0005-0000-0000-000006060000}"/>
    <cellStyle name="40% - Accent5 6" xfId="1679" xr:uid="{00000000-0005-0000-0000-000007060000}"/>
    <cellStyle name="40% - Accent5 6 2" xfId="1680" xr:uid="{00000000-0005-0000-0000-000008060000}"/>
    <cellStyle name="40% - Accent5 6 2 2" xfId="1681" xr:uid="{00000000-0005-0000-0000-000009060000}"/>
    <cellStyle name="40% - Accent5 6 3" xfId="1682" xr:uid="{00000000-0005-0000-0000-00000A060000}"/>
    <cellStyle name="40% - Accent5 6_Sheet1" xfId="1683" xr:uid="{00000000-0005-0000-0000-00000B060000}"/>
    <cellStyle name="40% - Accent5 60" xfId="1684" xr:uid="{00000000-0005-0000-0000-00000C060000}"/>
    <cellStyle name="40% - Accent5 61" xfId="1685" xr:uid="{00000000-0005-0000-0000-00000D060000}"/>
    <cellStyle name="40% - Accent5 62" xfId="1686" xr:uid="{00000000-0005-0000-0000-00000E060000}"/>
    <cellStyle name="40% - Accent5 63" xfId="1687" xr:uid="{00000000-0005-0000-0000-00000F060000}"/>
    <cellStyle name="40% - Accent5 64" xfId="1688" xr:uid="{00000000-0005-0000-0000-000010060000}"/>
    <cellStyle name="40% - Accent5 65" xfId="1689" xr:uid="{00000000-0005-0000-0000-000011060000}"/>
    <cellStyle name="40% - Accent5 66" xfId="1690" xr:uid="{00000000-0005-0000-0000-000012060000}"/>
    <cellStyle name="40% - Accent5 67" xfId="1691" xr:uid="{00000000-0005-0000-0000-000013060000}"/>
    <cellStyle name="40% - Accent5 68" xfId="1692" xr:uid="{00000000-0005-0000-0000-000014060000}"/>
    <cellStyle name="40% - Accent5 69" xfId="1693" xr:uid="{00000000-0005-0000-0000-000015060000}"/>
    <cellStyle name="40% - Accent5 7" xfId="1694" xr:uid="{00000000-0005-0000-0000-000016060000}"/>
    <cellStyle name="40% - Accent5 7 2" xfId="1695" xr:uid="{00000000-0005-0000-0000-000017060000}"/>
    <cellStyle name="40% - Accent5 7 2 2" xfId="1696" xr:uid="{00000000-0005-0000-0000-000018060000}"/>
    <cellStyle name="40% - Accent5 7 3" xfId="1697" xr:uid="{00000000-0005-0000-0000-000019060000}"/>
    <cellStyle name="40% - Accent5 7_Sheet1" xfId="1698" xr:uid="{00000000-0005-0000-0000-00001A060000}"/>
    <cellStyle name="40% - Accent5 70" xfId="1699" xr:uid="{00000000-0005-0000-0000-00001B060000}"/>
    <cellStyle name="40% - Accent5 71" xfId="1700" xr:uid="{00000000-0005-0000-0000-00001C060000}"/>
    <cellStyle name="40% - Accent5 8" xfId="1701" xr:uid="{00000000-0005-0000-0000-00001D060000}"/>
    <cellStyle name="40% - Accent5 8 2" xfId="1702" xr:uid="{00000000-0005-0000-0000-00001E060000}"/>
    <cellStyle name="40% - Accent5 8 2 2" xfId="1703" xr:uid="{00000000-0005-0000-0000-00001F060000}"/>
    <cellStyle name="40% - Accent5 8 3" xfId="1704" xr:uid="{00000000-0005-0000-0000-000020060000}"/>
    <cellStyle name="40% - Accent5 8_Sheet1" xfId="1705" xr:uid="{00000000-0005-0000-0000-000021060000}"/>
    <cellStyle name="40% - Accent5 9" xfId="1706" xr:uid="{00000000-0005-0000-0000-000022060000}"/>
    <cellStyle name="40% - Accent5 9 2" xfId="1707" xr:uid="{00000000-0005-0000-0000-000023060000}"/>
    <cellStyle name="40% - Accent5 9 2 2" xfId="1708" xr:uid="{00000000-0005-0000-0000-000024060000}"/>
    <cellStyle name="40% - Accent5 9 3" xfId="1709" xr:uid="{00000000-0005-0000-0000-000025060000}"/>
    <cellStyle name="40% - Accent5 9_Sheet1" xfId="1710" xr:uid="{00000000-0005-0000-0000-000026060000}"/>
    <cellStyle name="40% - Accent6 10" xfId="1711" xr:uid="{00000000-0005-0000-0000-000028060000}"/>
    <cellStyle name="40% - Accent6 10 2" xfId="1712" xr:uid="{00000000-0005-0000-0000-000029060000}"/>
    <cellStyle name="40% - Accent6 10 2 2" xfId="1713" xr:uid="{00000000-0005-0000-0000-00002A060000}"/>
    <cellStyle name="40% - Accent6 10 3" xfId="1714" xr:uid="{00000000-0005-0000-0000-00002B060000}"/>
    <cellStyle name="40% - Accent6 10_Sheet1" xfId="1715" xr:uid="{00000000-0005-0000-0000-00002C060000}"/>
    <cellStyle name="40% - Accent6 11" xfId="1716" xr:uid="{00000000-0005-0000-0000-00002D060000}"/>
    <cellStyle name="40% - Accent6 11 2" xfId="1717" xr:uid="{00000000-0005-0000-0000-00002E060000}"/>
    <cellStyle name="40% - Accent6 11 2 2" xfId="1718" xr:uid="{00000000-0005-0000-0000-00002F060000}"/>
    <cellStyle name="40% - Accent6 11 3" xfId="1719" xr:uid="{00000000-0005-0000-0000-000030060000}"/>
    <cellStyle name="40% - Accent6 11_Sheet1" xfId="1720" xr:uid="{00000000-0005-0000-0000-000031060000}"/>
    <cellStyle name="40% - Accent6 12" xfId="1721" xr:uid="{00000000-0005-0000-0000-000032060000}"/>
    <cellStyle name="40% - Accent6 12 2" xfId="1722" xr:uid="{00000000-0005-0000-0000-000033060000}"/>
    <cellStyle name="40% - Accent6 12 2 2" xfId="1723" xr:uid="{00000000-0005-0000-0000-000034060000}"/>
    <cellStyle name="40% - Accent6 12 3" xfId="1724" xr:uid="{00000000-0005-0000-0000-000035060000}"/>
    <cellStyle name="40% - Accent6 12_Sheet1" xfId="1725" xr:uid="{00000000-0005-0000-0000-000036060000}"/>
    <cellStyle name="40% - Accent6 13" xfId="1726" xr:uid="{00000000-0005-0000-0000-000037060000}"/>
    <cellStyle name="40% - Accent6 13 2" xfId="1727" xr:uid="{00000000-0005-0000-0000-000038060000}"/>
    <cellStyle name="40% - Accent6 13 2 2" xfId="1728" xr:uid="{00000000-0005-0000-0000-000039060000}"/>
    <cellStyle name="40% - Accent6 13 3" xfId="1729" xr:uid="{00000000-0005-0000-0000-00003A060000}"/>
    <cellStyle name="40% - Accent6 13_Sheet1" xfId="1730" xr:uid="{00000000-0005-0000-0000-00003B060000}"/>
    <cellStyle name="40% - Accent6 14" xfId="1731" xr:uid="{00000000-0005-0000-0000-00003C060000}"/>
    <cellStyle name="40% - Accent6 14 2" xfId="1732" xr:uid="{00000000-0005-0000-0000-00003D060000}"/>
    <cellStyle name="40% - Accent6 14 2 2" xfId="1733" xr:uid="{00000000-0005-0000-0000-00003E060000}"/>
    <cellStyle name="40% - Accent6 14 3" xfId="1734" xr:uid="{00000000-0005-0000-0000-00003F060000}"/>
    <cellStyle name="40% - Accent6 14_Sheet1" xfId="1735" xr:uid="{00000000-0005-0000-0000-000040060000}"/>
    <cellStyle name="40% - Accent6 15" xfId="1736" xr:uid="{00000000-0005-0000-0000-000041060000}"/>
    <cellStyle name="40% - Accent6 15 2" xfId="1737" xr:uid="{00000000-0005-0000-0000-000042060000}"/>
    <cellStyle name="40% - Accent6 15 2 2" xfId="1738" xr:uid="{00000000-0005-0000-0000-000043060000}"/>
    <cellStyle name="40% - Accent6 15 3" xfId="1739" xr:uid="{00000000-0005-0000-0000-000044060000}"/>
    <cellStyle name="40% - Accent6 15_Sheet1" xfId="1740" xr:uid="{00000000-0005-0000-0000-000045060000}"/>
    <cellStyle name="40% - Accent6 16" xfId="1741" xr:uid="{00000000-0005-0000-0000-000046060000}"/>
    <cellStyle name="40% - Accent6 16 2" xfId="1742" xr:uid="{00000000-0005-0000-0000-000047060000}"/>
    <cellStyle name="40% - Accent6 16 2 2" xfId="1743" xr:uid="{00000000-0005-0000-0000-000048060000}"/>
    <cellStyle name="40% - Accent6 16 3" xfId="1744" xr:uid="{00000000-0005-0000-0000-000049060000}"/>
    <cellStyle name="40% - Accent6 16_Sheet1" xfId="1745" xr:uid="{00000000-0005-0000-0000-00004A060000}"/>
    <cellStyle name="40% - Accent6 17" xfId="1746" xr:uid="{00000000-0005-0000-0000-00004B060000}"/>
    <cellStyle name="40% - Accent6 17 2" xfId="1747" xr:uid="{00000000-0005-0000-0000-00004C060000}"/>
    <cellStyle name="40% - Accent6 17 2 2" xfId="1748" xr:uid="{00000000-0005-0000-0000-00004D060000}"/>
    <cellStyle name="40% - Accent6 17 3" xfId="1749" xr:uid="{00000000-0005-0000-0000-00004E060000}"/>
    <cellStyle name="40% - Accent6 17_Sheet1" xfId="1750" xr:uid="{00000000-0005-0000-0000-00004F060000}"/>
    <cellStyle name="40% - Accent6 18" xfId="1751" xr:uid="{00000000-0005-0000-0000-000050060000}"/>
    <cellStyle name="40% - Accent6 18 2" xfId="1752" xr:uid="{00000000-0005-0000-0000-000051060000}"/>
    <cellStyle name="40% - Accent6 18 2 2" xfId="1753" xr:uid="{00000000-0005-0000-0000-000052060000}"/>
    <cellStyle name="40% - Accent6 18 3" xfId="1754" xr:uid="{00000000-0005-0000-0000-000053060000}"/>
    <cellStyle name="40% - Accent6 18_Sheet1" xfId="1755" xr:uid="{00000000-0005-0000-0000-000054060000}"/>
    <cellStyle name="40% - Accent6 19" xfId="1756" xr:uid="{00000000-0005-0000-0000-000055060000}"/>
    <cellStyle name="40% - Accent6 2" xfId="1757" xr:uid="{00000000-0005-0000-0000-000056060000}"/>
    <cellStyle name="40% - Accent6 2 2" xfId="1758" xr:uid="{00000000-0005-0000-0000-000057060000}"/>
    <cellStyle name="40% - Accent6 2 2 2" xfId="1759" xr:uid="{00000000-0005-0000-0000-000058060000}"/>
    <cellStyle name="40% - Accent6 2 3" xfId="1760" xr:uid="{00000000-0005-0000-0000-000059060000}"/>
    <cellStyle name="40% - Accent6 2 3 2" xfId="1761" xr:uid="{00000000-0005-0000-0000-00005A060000}"/>
    <cellStyle name="40% - Accent6 2 4" xfId="1762" xr:uid="{00000000-0005-0000-0000-00005B060000}"/>
    <cellStyle name="40% - Accent6 2_Sheet1" xfId="1763" xr:uid="{00000000-0005-0000-0000-00005C060000}"/>
    <cellStyle name="40% - Accent6 20" xfId="1764" xr:uid="{00000000-0005-0000-0000-00005D060000}"/>
    <cellStyle name="40% - Accent6 21" xfId="1765" xr:uid="{00000000-0005-0000-0000-00005E060000}"/>
    <cellStyle name="40% - Accent6 22" xfId="1766" xr:uid="{00000000-0005-0000-0000-00005F060000}"/>
    <cellStyle name="40% - Accent6 23" xfId="1767" xr:uid="{00000000-0005-0000-0000-000060060000}"/>
    <cellStyle name="40% - Accent6 24" xfId="1768" xr:uid="{00000000-0005-0000-0000-000061060000}"/>
    <cellStyle name="40% - Accent6 25" xfId="1769" xr:uid="{00000000-0005-0000-0000-000062060000}"/>
    <cellStyle name="40% - Accent6 26" xfId="1770" xr:uid="{00000000-0005-0000-0000-000063060000}"/>
    <cellStyle name="40% - Accent6 27" xfId="1771" xr:uid="{00000000-0005-0000-0000-000064060000}"/>
    <cellStyle name="40% - Accent6 28" xfId="1772" xr:uid="{00000000-0005-0000-0000-000065060000}"/>
    <cellStyle name="40% - Accent6 29" xfId="1773" xr:uid="{00000000-0005-0000-0000-000066060000}"/>
    <cellStyle name="40% - Accent6 3" xfId="1774" xr:uid="{00000000-0005-0000-0000-000067060000}"/>
    <cellStyle name="40% - Accent6 3 2" xfId="1775" xr:uid="{00000000-0005-0000-0000-000068060000}"/>
    <cellStyle name="40% - Accent6 3 2 2" xfId="1776" xr:uid="{00000000-0005-0000-0000-000069060000}"/>
    <cellStyle name="40% - Accent6 3 3" xfId="1777" xr:uid="{00000000-0005-0000-0000-00006A060000}"/>
    <cellStyle name="40% - Accent6 3_Sheet1" xfId="1778" xr:uid="{00000000-0005-0000-0000-00006B060000}"/>
    <cellStyle name="40% - Accent6 30" xfId="1779" xr:uid="{00000000-0005-0000-0000-00006C060000}"/>
    <cellStyle name="40% - Accent6 31" xfId="1780" xr:uid="{00000000-0005-0000-0000-00006D060000}"/>
    <cellStyle name="40% - Accent6 32" xfId="1781" xr:uid="{00000000-0005-0000-0000-00006E060000}"/>
    <cellStyle name="40% - Accent6 33" xfId="1782" xr:uid="{00000000-0005-0000-0000-00006F060000}"/>
    <cellStyle name="40% - Accent6 34" xfId="1783" xr:uid="{00000000-0005-0000-0000-000070060000}"/>
    <cellStyle name="40% - Accent6 35" xfId="1784" xr:uid="{00000000-0005-0000-0000-000071060000}"/>
    <cellStyle name="40% - Accent6 36" xfId="1785" xr:uid="{00000000-0005-0000-0000-000072060000}"/>
    <cellStyle name="40% - Accent6 37" xfId="1786" xr:uid="{00000000-0005-0000-0000-000073060000}"/>
    <cellStyle name="40% - Accent6 38" xfId="1787" xr:uid="{00000000-0005-0000-0000-000074060000}"/>
    <cellStyle name="40% - Accent6 39" xfId="1788" xr:uid="{00000000-0005-0000-0000-000075060000}"/>
    <cellStyle name="40% - Accent6 4" xfId="1789" xr:uid="{00000000-0005-0000-0000-000076060000}"/>
    <cellStyle name="40% - Accent6 4 2" xfId="1790" xr:uid="{00000000-0005-0000-0000-000077060000}"/>
    <cellStyle name="40% - Accent6 4 2 2" xfId="1791" xr:uid="{00000000-0005-0000-0000-000078060000}"/>
    <cellStyle name="40% - Accent6 4 3" xfId="1792" xr:uid="{00000000-0005-0000-0000-000079060000}"/>
    <cellStyle name="40% - Accent6 4_Sheet1" xfId="1793" xr:uid="{00000000-0005-0000-0000-00007A060000}"/>
    <cellStyle name="40% - Accent6 40" xfId="1794" xr:uid="{00000000-0005-0000-0000-00007B060000}"/>
    <cellStyle name="40% - Accent6 41" xfId="1795" xr:uid="{00000000-0005-0000-0000-00007C060000}"/>
    <cellStyle name="40% - Accent6 42" xfId="1796" xr:uid="{00000000-0005-0000-0000-00007D060000}"/>
    <cellStyle name="40% - Accent6 43" xfId="1797" xr:uid="{00000000-0005-0000-0000-00007E060000}"/>
    <cellStyle name="40% - Accent6 44" xfId="1798" xr:uid="{00000000-0005-0000-0000-00007F060000}"/>
    <cellStyle name="40% - Accent6 45" xfId="1799" xr:uid="{00000000-0005-0000-0000-000080060000}"/>
    <cellStyle name="40% - Accent6 46" xfId="1800" xr:uid="{00000000-0005-0000-0000-000081060000}"/>
    <cellStyle name="40% - Accent6 47" xfId="1801" xr:uid="{00000000-0005-0000-0000-000082060000}"/>
    <cellStyle name="40% - Accent6 48" xfId="1802" xr:uid="{00000000-0005-0000-0000-000083060000}"/>
    <cellStyle name="40% - Accent6 49" xfId="1803" xr:uid="{00000000-0005-0000-0000-000084060000}"/>
    <cellStyle name="40% - Accent6 5" xfId="1804" xr:uid="{00000000-0005-0000-0000-000085060000}"/>
    <cellStyle name="40% - Accent6 5 2" xfId="1805" xr:uid="{00000000-0005-0000-0000-000086060000}"/>
    <cellStyle name="40% - Accent6 5 2 2" xfId="1806" xr:uid="{00000000-0005-0000-0000-000087060000}"/>
    <cellStyle name="40% - Accent6 5 3" xfId="1807" xr:uid="{00000000-0005-0000-0000-000088060000}"/>
    <cellStyle name="40% - Accent6 5_Sheet1" xfId="1808" xr:uid="{00000000-0005-0000-0000-000089060000}"/>
    <cellStyle name="40% - Accent6 50" xfId="1809" xr:uid="{00000000-0005-0000-0000-00008A060000}"/>
    <cellStyle name="40% - Accent6 51" xfId="1810" xr:uid="{00000000-0005-0000-0000-00008B060000}"/>
    <cellStyle name="40% - Accent6 52" xfId="1811" xr:uid="{00000000-0005-0000-0000-00008C060000}"/>
    <cellStyle name="40% - Accent6 53" xfId="1812" xr:uid="{00000000-0005-0000-0000-00008D060000}"/>
    <cellStyle name="40% - Accent6 54" xfId="1813" xr:uid="{00000000-0005-0000-0000-00008E060000}"/>
    <cellStyle name="40% - Accent6 55" xfId="1814" xr:uid="{00000000-0005-0000-0000-00008F060000}"/>
    <cellStyle name="40% - Accent6 56" xfId="1815" xr:uid="{00000000-0005-0000-0000-000090060000}"/>
    <cellStyle name="40% - Accent6 57" xfId="1816" xr:uid="{00000000-0005-0000-0000-000091060000}"/>
    <cellStyle name="40% - Accent6 58" xfId="1817" xr:uid="{00000000-0005-0000-0000-000092060000}"/>
    <cellStyle name="40% - Accent6 59" xfId="1818" xr:uid="{00000000-0005-0000-0000-000093060000}"/>
    <cellStyle name="40% - Accent6 6" xfId="1819" xr:uid="{00000000-0005-0000-0000-000094060000}"/>
    <cellStyle name="40% - Accent6 6 2" xfId="1820" xr:uid="{00000000-0005-0000-0000-000095060000}"/>
    <cellStyle name="40% - Accent6 6 2 2" xfId="1821" xr:uid="{00000000-0005-0000-0000-000096060000}"/>
    <cellStyle name="40% - Accent6 6 3" xfId="1822" xr:uid="{00000000-0005-0000-0000-000097060000}"/>
    <cellStyle name="40% - Accent6 6_Sheet1" xfId="1823" xr:uid="{00000000-0005-0000-0000-000098060000}"/>
    <cellStyle name="40% - Accent6 60" xfId="1824" xr:uid="{00000000-0005-0000-0000-000099060000}"/>
    <cellStyle name="40% - Accent6 61" xfId="1825" xr:uid="{00000000-0005-0000-0000-00009A060000}"/>
    <cellStyle name="40% - Accent6 62" xfId="1826" xr:uid="{00000000-0005-0000-0000-00009B060000}"/>
    <cellStyle name="40% - Accent6 63" xfId="1827" xr:uid="{00000000-0005-0000-0000-00009C060000}"/>
    <cellStyle name="40% - Accent6 64" xfId="1828" xr:uid="{00000000-0005-0000-0000-00009D060000}"/>
    <cellStyle name="40% - Accent6 65" xfId="1829" xr:uid="{00000000-0005-0000-0000-00009E060000}"/>
    <cellStyle name="40% - Accent6 66" xfId="1830" xr:uid="{00000000-0005-0000-0000-00009F060000}"/>
    <cellStyle name="40% - Accent6 67" xfId="1831" xr:uid="{00000000-0005-0000-0000-0000A0060000}"/>
    <cellStyle name="40% - Accent6 68" xfId="1832" xr:uid="{00000000-0005-0000-0000-0000A1060000}"/>
    <cellStyle name="40% - Accent6 69" xfId="1833" xr:uid="{00000000-0005-0000-0000-0000A2060000}"/>
    <cellStyle name="40% - Accent6 7" xfId="1834" xr:uid="{00000000-0005-0000-0000-0000A3060000}"/>
    <cellStyle name="40% - Accent6 7 2" xfId="1835" xr:uid="{00000000-0005-0000-0000-0000A4060000}"/>
    <cellStyle name="40% - Accent6 7 2 2" xfId="1836" xr:uid="{00000000-0005-0000-0000-0000A5060000}"/>
    <cellStyle name="40% - Accent6 7 3" xfId="1837" xr:uid="{00000000-0005-0000-0000-0000A6060000}"/>
    <cellStyle name="40% - Accent6 7_Sheet1" xfId="1838" xr:uid="{00000000-0005-0000-0000-0000A7060000}"/>
    <cellStyle name="40% - Accent6 70" xfId="1839" xr:uid="{00000000-0005-0000-0000-0000A8060000}"/>
    <cellStyle name="40% - Accent6 71" xfId="1840" xr:uid="{00000000-0005-0000-0000-0000A9060000}"/>
    <cellStyle name="40% - Accent6 8" xfId="1841" xr:uid="{00000000-0005-0000-0000-0000AA060000}"/>
    <cellStyle name="40% - Accent6 8 2" xfId="1842" xr:uid="{00000000-0005-0000-0000-0000AB060000}"/>
    <cellStyle name="40% - Accent6 8 2 2" xfId="1843" xr:uid="{00000000-0005-0000-0000-0000AC060000}"/>
    <cellStyle name="40% - Accent6 8 3" xfId="1844" xr:uid="{00000000-0005-0000-0000-0000AD060000}"/>
    <cellStyle name="40% - Accent6 8_Sheet1" xfId="1845" xr:uid="{00000000-0005-0000-0000-0000AE060000}"/>
    <cellStyle name="40% - Accent6 9" xfId="1846" xr:uid="{00000000-0005-0000-0000-0000AF060000}"/>
    <cellStyle name="40% - Accent6 9 2" xfId="1847" xr:uid="{00000000-0005-0000-0000-0000B0060000}"/>
    <cellStyle name="40% - Accent6 9 2 2" xfId="1848" xr:uid="{00000000-0005-0000-0000-0000B1060000}"/>
    <cellStyle name="40% - Accent6 9 3" xfId="1849" xr:uid="{00000000-0005-0000-0000-0000B2060000}"/>
    <cellStyle name="40% - Accent6 9_Sheet1" xfId="1850" xr:uid="{00000000-0005-0000-0000-0000B3060000}"/>
    <cellStyle name="40% – rõhk1" xfId="7" builtinId="31" customBuiltin="1"/>
    <cellStyle name="40% – rõhk1 2" xfId="85" xr:uid="{00000000-0005-0000-0000-0000B4060000}"/>
    <cellStyle name="40% – rõhk1 2 2" xfId="3875" xr:uid="{00000000-0005-0000-0000-0000B5060000}"/>
    <cellStyle name="40% – rõhk1 2 3" xfId="1851" xr:uid="{00000000-0005-0000-0000-0000B6060000}"/>
    <cellStyle name="40% – rõhk1 3" xfId="86" xr:uid="{00000000-0005-0000-0000-0000B7060000}"/>
    <cellStyle name="40% – rõhk2" xfId="8" builtinId="35" customBuiltin="1"/>
    <cellStyle name="40% – rõhk2 2" xfId="87" xr:uid="{00000000-0005-0000-0000-0000B8060000}"/>
    <cellStyle name="40% – rõhk2 2 2" xfId="3876" xr:uid="{00000000-0005-0000-0000-0000B9060000}"/>
    <cellStyle name="40% – rõhk2 2 3" xfId="1852" xr:uid="{00000000-0005-0000-0000-0000BA060000}"/>
    <cellStyle name="40% – rõhk2 3" xfId="88" xr:uid="{00000000-0005-0000-0000-0000BB060000}"/>
    <cellStyle name="40% – rõhk3" xfId="9" builtinId="39" customBuiltin="1"/>
    <cellStyle name="40% – rõhk3 2" xfId="89" xr:uid="{00000000-0005-0000-0000-0000BC060000}"/>
    <cellStyle name="40% – rõhk3 2 2" xfId="3877" xr:uid="{00000000-0005-0000-0000-0000BD060000}"/>
    <cellStyle name="40% – rõhk3 2 3" xfId="1853" xr:uid="{00000000-0005-0000-0000-0000BE060000}"/>
    <cellStyle name="40% – rõhk3 3" xfId="90" xr:uid="{00000000-0005-0000-0000-0000BF060000}"/>
    <cellStyle name="40% – rõhk4" xfId="10" builtinId="43" customBuiltin="1"/>
    <cellStyle name="40% – rõhk4 2" xfId="91" xr:uid="{00000000-0005-0000-0000-0000C0060000}"/>
    <cellStyle name="40% – rõhk4 2 2" xfId="3878" xr:uid="{00000000-0005-0000-0000-0000C1060000}"/>
    <cellStyle name="40% – rõhk4 2 3" xfId="1854" xr:uid="{00000000-0005-0000-0000-0000C2060000}"/>
    <cellStyle name="40% – rõhk4 3" xfId="92" xr:uid="{00000000-0005-0000-0000-0000C3060000}"/>
    <cellStyle name="40% – rõhk5" xfId="11" builtinId="47" customBuiltin="1"/>
    <cellStyle name="40% – rõhk5 2" xfId="93" xr:uid="{00000000-0005-0000-0000-0000C4060000}"/>
    <cellStyle name="40% – rõhk5 2 2" xfId="3879" xr:uid="{00000000-0005-0000-0000-0000C5060000}"/>
    <cellStyle name="40% – rõhk5 2 3" xfId="1855" xr:uid="{00000000-0005-0000-0000-0000C6060000}"/>
    <cellStyle name="40% – rõhk5 3" xfId="94" xr:uid="{00000000-0005-0000-0000-0000C7060000}"/>
    <cellStyle name="40% – rõhk6" xfId="12" builtinId="51" customBuiltin="1"/>
    <cellStyle name="40% – rõhk6 2" xfId="95" xr:uid="{00000000-0005-0000-0000-0000C8060000}"/>
    <cellStyle name="40% – rõhk6 2 2" xfId="3880" xr:uid="{00000000-0005-0000-0000-0000C9060000}"/>
    <cellStyle name="40% – rõhk6 2 3" xfId="1856" xr:uid="{00000000-0005-0000-0000-0000CA060000}"/>
    <cellStyle name="40% – rõhk6 3" xfId="96" xr:uid="{00000000-0005-0000-0000-0000CB060000}"/>
    <cellStyle name="60% - Accent1 10" xfId="1857" xr:uid="{00000000-0005-0000-0000-0000CD060000}"/>
    <cellStyle name="60% - Accent1 10 2" xfId="1858" xr:uid="{00000000-0005-0000-0000-0000CE060000}"/>
    <cellStyle name="60% - Accent1 11" xfId="1859" xr:uid="{00000000-0005-0000-0000-0000CF060000}"/>
    <cellStyle name="60% - Accent1 11 2" xfId="1860" xr:uid="{00000000-0005-0000-0000-0000D0060000}"/>
    <cellStyle name="60% - Accent1 12" xfId="1861" xr:uid="{00000000-0005-0000-0000-0000D1060000}"/>
    <cellStyle name="60% - Accent1 12 2" xfId="1862" xr:uid="{00000000-0005-0000-0000-0000D2060000}"/>
    <cellStyle name="60% - Accent1 13" xfId="1863" xr:uid="{00000000-0005-0000-0000-0000D3060000}"/>
    <cellStyle name="60% - Accent1 13 2" xfId="1864" xr:uid="{00000000-0005-0000-0000-0000D4060000}"/>
    <cellStyle name="60% - Accent1 14" xfId="1865" xr:uid="{00000000-0005-0000-0000-0000D5060000}"/>
    <cellStyle name="60% - Accent1 14 2" xfId="1866" xr:uid="{00000000-0005-0000-0000-0000D6060000}"/>
    <cellStyle name="60% - Accent1 15" xfId="1867" xr:uid="{00000000-0005-0000-0000-0000D7060000}"/>
    <cellStyle name="60% - Accent1 15 2" xfId="1868" xr:uid="{00000000-0005-0000-0000-0000D8060000}"/>
    <cellStyle name="60% - Accent1 16" xfId="1869" xr:uid="{00000000-0005-0000-0000-0000D9060000}"/>
    <cellStyle name="60% - Accent1 16 2" xfId="1870" xr:uid="{00000000-0005-0000-0000-0000DA060000}"/>
    <cellStyle name="60% - Accent1 17" xfId="1871" xr:uid="{00000000-0005-0000-0000-0000DB060000}"/>
    <cellStyle name="60% - Accent1 17 2" xfId="1872" xr:uid="{00000000-0005-0000-0000-0000DC060000}"/>
    <cellStyle name="60% - Accent1 18" xfId="1873" xr:uid="{00000000-0005-0000-0000-0000DD060000}"/>
    <cellStyle name="60% - Accent1 18 2" xfId="1874" xr:uid="{00000000-0005-0000-0000-0000DE060000}"/>
    <cellStyle name="60% - Accent1 2" xfId="1875" xr:uid="{00000000-0005-0000-0000-0000DF060000}"/>
    <cellStyle name="60% - Accent1 2 2" xfId="1876" xr:uid="{00000000-0005-0000-0000-0000E0060000}"/>
    <cellStyle name="60% - Accent1 2 3" xfId="1877" xr:uid="{00000000-0005-0000-0000-0000E1060000}"/>
    <cellStyle name="60% - Accent1 3" xfId="1878" xr:uid="{00000000-0005-0000-0000-0000E2060000}"/>
    <cellStyle name="60% - Accent1 3 2" xfId="1879" xr:uid="{00000000-0005-0000-0000-0000E3060000}"/>
    <cellStyle name="60% - Accent1 4" xfId="1880" xr:uid="{00000000-0005-0000-0000-0000E4060000}"/>
    <cellStyle name="60% - Accent1 4 2" xfId="1881" xr:uid="{00000000-0005-0000-0000-0000E5060000}"/>
    <cellStyle name="60% - Accent1 5" xfId="1882" xr:uid="{00000000-0005-0000-0000-0000E6060000}"/>
    <cellStyle name="60% - Accent1 5 2" xfId="1883" xr:uid="{00000000-0005-0000-0000-0000E7060000}"/>
    <cellStyle name="60% - Accent1 6" xfId="1884" xr:uid="{00000000-0005-0000-0000-0000E8060000}"/>
    <cellStyle name="60% - Accent1 6 2" xfId="1885" xr:uid="{00000000-0005-0000-0000-0000E9060000}"/>
    <cellStyle name="60% - Accent1 7" xfId="1886" xr:uid="{00000000-0005-0000-0000-0000EA060000}"/>
    <cellStyle name="60% - Accent1 7 2" xfId="1887" xr:uid="{00000000-0005-0000-0000-0000EB060000}"/>
    <cellStyle name="60% - Accent1 8" xfId="1888" xr:uid="{00000000-0005-0000-0000-0000EC060000}"/>
    <cellStyle name="60% - Accent1 8 2" xfId="1889" xr:uid="{00000000-0005-0000-0000-0000ED060000}"/>
    <cellStyle name="60% - Accent1 9" xfId="1890" xr:uid="{00000000-0005-0000-0000-0000EE060000}"/>
    <cellStyle name="60% - Accent1 9 2" xfId="1891" xr:uid="{00000000-0005-0000-0000-0000EF060000}"/>
    <cellStyle name="60% - Accent2 10" xfId="1892" xr:uid="{00000000-0005-0000-0000-0000F1060000}"/>
    <cellStyle name="60% - Accent2 10 2" xfId="1893" xr:uid="{00000000-0005-0000-0000-0000F2060000}"/>
    <cellStyle name="60% - Accent2 11" xfId="1894" xr:uid="{00000000-0005-0000-0000-0000F3060000}"/>
    <cellStyle name="60% - Accent2 11 2" xfId="1895" xr:uid="{00000000-0005-0000-0000-0000F4060000}"/>
    <cellStyle name="60% - Accent2 12" xfId="1896" xr:uid="{00000000-0005-0000-0000-0000F5060000}"/>
    <cellStyle name="60% - Accent2 12 2" xfId="1897" xr:uid="{00000000-0005-0000-0000-0000F6060000}"/>
    <cellStyle name="60% - Accent2 13" xfId="1898" xr:uid="{00000000-0005-0000-0000-0000F7060000}"/>
    <cellStyle name="60% - Accent2 13 2" xfId="1899" xr:uid="{00000000-0005-0000-0000-0000F8060000}"/>
    <cellStyle name="60% - Accent2 14" xfId="1900" xr:uid="{00000000-0005-0000-0000-0000F9060000}"/>
    <cellStyle name="60% - Accent2 14 2" xfId="1901" xr:uid="{00000000-0005-0000-0000-0000FA060000}"/>
    <cellStyle name="60% - Accent2 15" xfId="1902" xr:uid="{00000000-0005-0000-0000-0000FB060000}"/>
    <cellStyle name="60% - Accent2 15 2" xfId="1903" xr:uid="{00000000-0005-0000-0000-0000FC060000}"/>
    <cellStyle name="60% - Accent2 16" xfId="1904" xr:uid="{00000000-0005-0000-0000-0000FD060000}"/>
    <cellStyle name="60% - Accent2 16 2" xfId="1905" xr:uid="{00000000-0005-0000-0000-0000FE060000}"/>
    <cellStyle name="60% - Accent2 17" xfId="1906" xr:uid="{00000000-0005-0000-0000-0000FF060000}"/>
    <cellStyle name="60% - Accent2 17 2" xfId="1907" xr:uid="{00000000-0005-0000-0000-000000070000}"/>
    <cellStyle name="60% - Accent2 18" xfId="1908" xr:uid="{00000000-0005-0000-0000-000001070000}"/>
    <cellStyle name="60% - Accent2 18 2" xfId="1909" xr:uid="{00000000-0005-0000-0000-000002070000}"/>
    <cellStyle name="60% - Accent2 2" xfId="1910" xr:uid="{00000000-0005-0000-0000-000003070000}"/>
    <cellStyle name="60% - Accent2 2 2" xfId="1911" xr:uid="{00000000-0005-0000-0000-000004070000}"/>
    <cellStyle name="60% - Accent2 2 3" xfId="1912" xr:uid="{00000000-0005-0000-0000-000005070000}"/>
    <cellStyle name="60% - Accent2 3" xfId="1913" xr:uid="{00000000-0005-0000-0000-000006070000}"/>
    <cellStyle name="60% - Accent2 3 2" xfId="1914" xr:uid="{00000000-0005-0000-0000-000007070000}"/>
    <cellStyle name="60% - Accent2 4" xfId="1915" xr:uid="{00000000-0005-0000-0000-000008070000}"/>
    <cellStyle name="60% - Accent2 4 2" xfId="1916" xr:uid="{00000000-0005-0000-0000-000009070000}"/>
    <cellStyle name="60% - Accent2 5" xfId="1917" xr:uid="{00000000-0005-0000-0000-00000A070000}"/>
    <cellStyle name="60% - Accent2 5 2" xfId="1918" xr:uid="{00000000-0005-0000-0000-00000B070000}"/>
    <cellStyle name="60% - Accent2 6" xfId="1919" xr:uid="{00000000-0005-0000-0000-00000C070000}"/>
    <cellStyle name="60% - Accent2 6 2" xfId="1920" xr:uid="{00000000-0005-0000-0000-00000D070000}"/>
    <cellStyle name="60% - Accent2 7" xfId="1921" xr:uid="{00000000-0005-0000-0000-00000E070000}"/>
    <cellStyle name="60% - Accent2 7 2" xfId="1922" xr:uid="{00000000-0005-0000-0000-00000F070000}"/>
    <cellStyle name="60% - Accent2 8" xfId="1923" xr:uid="{00000000-0005-0000-0000-000010070000}"/>
    <cellStyle name="60% - Accent2 8 2" xfId="1924" xr:uid="{00000000-0005-0000-0000-000011070000}"/>
    <cellStyle name="60% - Accent2 9" xfId="1925" xr:uid="{00000000-0005-0000-0000-000012070000}"/>
    <cellStyle name="60% - Accent2 9 2" xfId="1926" xr:uid="{00000000-0005-0000-0000-000013070000}"/>
    <cellStyle name="60% - Accent3 10" xfId="1927" xr:uid="{00000000-0005-0000-0000-000015070000}"/>
    <cellStyle name="60% - Accent3 10 2" xfId="1928" xr:uid="{00000000-0005-0000-0000-000016070000}"/>
    <cellStyle name="60% - Accent3 11" xfId="1929" xr:uid="{00000000-0005-0000-0000-000017070000}"/>
    <cellStyle name="60% - Accent3 11 2" xfId="1930" xr:uid="{00000000-0005-0000-0000-000018070000}"/>
    <cellStyle name="60% - Accent3 12" xfId="1931" xr:uid="{00000000-0005-0000-0000-000019070000}"/>
    <cellStyle name="60% - Accent3 12 2" xfId="1932" xr:uid="{00000000-0005-0000-0000-00001A070000}"/>
    <cellStyle name="60% - Accent3 13" xfId="1933" xr:uid="{00000000-0005-0000-0000-00001B070000}"/>
    <cellStyle name="60% - Accent3 13 2" xfId="1934" xr:uid="{00000000-0005-0000-0000-00001C070000}"/>
    <cellStyle name="60% - Accent3 14" xfId="1935" xr:uid="{00000000-0005-0000-0000-00001D070000}"/>
    <cellStyle name="60% - Accent3 14 2" xfId="1936" xr:uid="{00000000-0005-0000-0000-00001E070000}"/>
    <cellStyle name="60% - Accent3 15" xfId="1937" xr:uid="{00000000-0005-0000-0000-00001F070000}"/>
    <cellStyle name="60% - Accent3 15 2" xfId="1938" xr:uid="{00000000-0005-0000-0000-000020070000}"/>
    <cellStyle name="60% - Accent3 16" xfId="1939" xr:uid="{00000000-0005-0000-0000-000021070000}"/>
    <cellStyle name="60% - Accent3 16 2" xfId="1940" xr:uid="{00000000-0005-0000-0000-000022070000}"/>
    <cellStyle name="60% - Accent3 17" xfId="1941" xr:uid="{00000000-0005-0000-0000-000023070000}"/>
    <cellStyle name="60% - Accent3 17 2" xfId="1942" xr:uid="{00000000-0005-0000-0000-000024070000}"/>
    <cellStyle name="60% - Accent3 18" xfId="1943" xr:uid="{00000000-0005-0000-0000-000025070000}"/>
    <cellStyle name="60% - Accent3 18 2" xfId="1944" xr:uid="{00000000-0005-0000-0000-000026070000}"/>
    <cellStyle name="60% - Accent3 2" xfId="1945" xr:uid="{00000000-0005-0000-0000-000027070000}"/>
    <cellStyle name="60% - Accent3 2 2" xfId="1946" xr:uid="{00000000-0005-0000-0000-000028070000}"/>
    <cellStyle name="60% - Accent3 2 3" xfId="1947" xr:uid="{00000000-0005-0000-0000-000029070000}"/>
    <cellStyle name="60% - Accent3 3" xfId="1948" xr:uid="{00000000-0005-0000-0000-00002A070000}"/>
    <cellStyle name="60% - Accent3 3 2" xfId="1949" xr:uid="{00000000-0005-0000-0000-00002B070000}"/>
    <cellStyle name="60% - Accent3 4" xfId="1950" xr:uid="{00000000-0005-0000-0000-00002C070000}"/>
    <cellStyle name="60% - Accent3 4 2" xfId="1951" xr:uid="{00000000-0005-0000-0000-00002D070000}"/>
    <cellStyle name="60% - Accent3 5" xfId="1952" xr:uid="{00000000-0005-0000-0000-00002E070000}"/>
    <cellStyle name="60% - Accent3 5 2" xfId="1953" xr:uid="{00000000-0005-0000-0000-00002F070000}"/>
    <cellStyle name="60% - Accent3 6" xfId="1954" xr:uid="{00000000-0005-0000-0000-000030070000}"/>
    <cellStyle name="60% - Accent3 6 2" xfId="1955" xr:uid="{00000000-0005-0000-0000-000031070000}"/>
    <cellStyle name="60% - Accent3 7" xfId="1956" xr:uid="{00000000-0005-0000-0000-000032070000}"/>
    <cellStyle name="60% - Accent3 7 2" xfId="1957" xr:uid="{00000000-0005-0000-0000-000033070000}"/>
    <cellStyle name="60% - Accent3 8" xfId="1958" xr:uid="{00000000-0005-0000-0000-000034070000}"/>
    <cellStyle name="60% - Accent3 8 2" xfId="1959" xr:uid="{00000000-0005-0000-0000-000035070000}"/>
    <cellStyle name="60% - Accent3 9" xfId="1960" xr:uid="{00000000-0005-0000-0000-000036070000}"/>
    <cellStyle name="60% - Accent3 9 2" xfId="1961" xr:uid="{00000000-0005-0000-0000-000037070000}"/>
    <cellStyle name="60% - Accent4 10" xfId="1962" xr:uid="{00000000-0005-0000-0000-000039070000}"/>
    <cellStyle name="60% - Accent4 10 2" xfId="1963" xr:uid="{00000000-0005-0000-0000-00003A070000}"/>
    <cellStyle name="60% - Accent4 11" xfId="1964" xr:uid="{00000000-0005-0000-0000-00003B070000}"/>
    <cellStyle name="60% - Accent4 11 2" xfId="1965" xr:uid="{00000000-0005-0000-0000-00003C070000}"/>
    <cellStyle name="60% - Accent4 12" xfId="1966" xr:uid="{00000000-0005-0000-0000-00003D070000}"/>
    <cellStyle name="60% - Accent4 12 2" xfId="1967" xr:uid="{00000000-0005-0000-0000-00003E070000}"/>
    <cellStyle name="60% - Accent4 13" xfId="1968" xr:uid="{00000000-0005-0000-0000-00003F070000}"/>
    <cellStyle name="60% - Accent4 13 2" xfId="1969" xr:uid="{00000000-0005-0000-0000-000040070000}"/>
    <cellStyle name="60% - Accent4 14" xfId="1970" xr:uid="{00000000-0005-0000-0000-000041070000}"/>
    <cellStyle name="60% - Accent4 14 2" xfId="1971" xr:uid="{00000000-0005-0000-0000-000042070000}"/>
    <cellStyle name="60% - Accent4 15" xfId="1972" xr:uid="{00000000-0005-0000-0000-000043070000}"/>
    <cellStyle name="60% - Accent4 15 2" xfId="1973" xr:uid="{00000000-0005-0000-0000-000044070000}"/>
    <cellStyle name="60% - Accent4 16" xfId="1974" xr:uid="{00000000-0005-0000-0000-000045070000}"/>
    <cellStyle name="60% - Accent4 16 2" xfId="1975" xr:uid="{00000000-0005-0000-0000-000046070000}"/>
    <cellStyle name="60% - Accent4 17" xfId="1976" xr:uid="{00000000-0005-0000-0000-000047070000}"/>
    <cellStyle name="60% - Accent4 17 2" xfId="1977" xr:uid="{00000000-0005-0000-0000-000048070000}"/>
    <cellStyle name="60% - Accent4 18" xfId="1978" xr:uid="{00000000-0005-0000-0000-000049070000}"/>
    <cellStyle name="60% - Accent4 18 2" xfId="1979" xr:uid="{00000000-0005-0000-0000-00004A070000}"/>
    <cellStyle name="60% - Accent4 2" xfId="1980" xr:uid="{00000000-0005-0000-0000-00004B070000}"/>
    <cellStyle name="60% - Accent4 2 2" xfId="1981" xr:uid="{00000000-0005-0000-0000-00004C070000}"/>
    <cellStyle name="60% - Accent4 2 3" xfId="1982" xr:uid="{00000000-0005-0000-0000-00004D070000}"/>
    <cellStyle name="60% - Accent4 3" xfId="1983" xr:uid="{00000000-0005-0000-0000-00004E070000}"/>
    <cellStyle name="60% - Accent4 3 2" xfId="1984" xr:uid="{00000000-0005-0000-0000-00004F070000}"/>
    <cellStyle name="60% - Accent4 4" xfId="1985" xr:uid="{00000000-0005-0000-0000-000050070000}"/>
    <cellStyle name="60% - Accent4 4 2" xfId="1986" xr:uid="{00000000-0005-0000-0000-000051070000}"/>
    <cellStyle name="60% - Accent4 5" xfId="1987" xr:uid="{00000000-0005-0000-0000-000052070000}"/>
    <cellStyle name="60% - Accent4 5 2" xfId="1988" xr:uid="{00000000-0005-0000-0000-000053070000}"/>
    <cellStyle name="60% - Accent4 6" xfId="1989" xr:uid="{00000000-0005-0000-0000-000054070000}"/>
    <cellStyle name="60% - Accent4 6 2" xfId="1990" xr:uid="{00000000-0005-0000-0000-000055070000}"/>
    <cellStyle name="60% - Accent4 7" xfId="1991" xr:uid="{00000000-0005-0000-0000-000056070000}"/>
    <cellStyle name="60% - Accent4 7 2" xfId="1992" xr:uid="{00000000-0005-0000-0000-000057070000}"/>
    <cellStyle name="60% - Accent4 8" xfId="1993" xr:uid="{00000000-0005-0000-0000-000058070000}"/>
    <cellStyle name="60% - Accent4 8 2" xfId="1994" xr:uid="{00000000-0005-0000-0000-000059070000}"/>
    <cellStyle name="60% - Accent4 9" xfId="1995" xr:uid="{00000000-0005-0000-0000-00005A070000}"/>
    <cellStyle name="60% - Accent4 9 2" xfId="1996" xr:uid="{00000000-0005-0000-0000-00005B070000}"/>
    <cellStyle name="60% - Accent5 10" xfId="1997" xr:uid="{00000000-0005-0000-0000-00005D070000}"/>
    <cellStyle name="60% - Accent5 10 2" xfId="1998" xr:uid="{00000000-0005-0000-0000-00005E070000}"/>
    <cellStyle name="60% - Accent5 11" xfId="1999" xr:uid="{00000000-0005-0000-0000-00005F070000}"/>
    <cellStyle name="60% - Accent5 11 2" xfId="2000" xr:uid="{00000000-0005-0000-0000-000060070000}"/>
    <cellStyle name="60% - Accent5 12" xfId="2001" xr:uid="{00000000-0005-0000-0000-000061070000}"/>
    <cellStyle name="60% - Accent5 12 2" xfId="2002" xr:uid="{00000000-0005-0000-0000-000062070000}"/>
    <cellStyle name="60% - Accent5 13" xfId="2003" xr:uid="{00000000-0005-0000-0000-000063070000}"/>
    <cellStyle name="60% - Accent5 13 2" xfId="2004" xr:uid="{00000000-0005-0000-0000-000064070000}"/>
    <cellStyle name="60% - Accent5 14" xfId="2005" xr:uid="{00000000-0005-0000-0000-000065070000}"/>
    <cellStyle name="60% - Accent5 14 2" xfId="2006" xr:uid="{00000000-0005-0000-0000-000066070000}"/>
    <cellStyle name="60% - Accent5 15" xfId="2007" xr:uid="{00000000-0005-0000-0000-000067070000}"/>
    <cellStyle name="60% - Accent5 15 2" xfId="2008" xr:uid="{00000000-0005-0000-0000-000068070000}"/>
    <cellStyle name="60% - Accent5 16" xfId="2009" xr:uid="{00000000-0005-0000-0000-000069070000}"/>
    <cellStyle name="60% - Accent5 16 2" xfId="2010" xr:uid="{00000000-0005-0000-0000-00006A070000}"/>
    <cellStyle name="60% - Accent5 17" xfId="2011" xr:uid="{00000000-0005-0000-0000-00006B070000}"/>
    <cellStyle name="60% - Accent5 17 2" xfId="2012" xr:uid="{00000000-0005-0000-0000-00006C070000}"/>
    <cellStyle name="60% - Accent5 18" xfId="2013" xr:uid="{00000000-0005-0000-0000-00006D070000}"/>
    <cellStyle name="60% - Accent5 18 2" xfId="2014" xr:uid="{00000000-0005-0000-0000-00006E070000}"/>
    <cellStyle name="60% - Accent5 2" xfId="2015" xr:uid="{00000000-0005-0000-0000-00006F070000}"/>
    <cellStyle name="60% - Accent5 2 2" xfId="2016" xr:uid="{00000000-0005-0000-0000-000070070000}"/>
    <cellStyle name="60% - Accent5 2 3" xfId="2017" xr:uid="{00000000-0005-0000-0000-000071070000}"/>
    <cellStyle name="60% - Accent5 3" xfId="2018" xr:uid="{00000000-0005-0000-0000-000072070000}"/>
    <cellStyle name="60% - Accent5 3 2" xfId="2019" xr:uid="{00000000-0005-0000-0000-000073070000}"/>
    <cellStyle name="60% - Accent5 4" xfId="2020" xr:uid="{00000000-0005-0000-0000-000074070000}"/>
    <cellStyle name="60% - Accent5 4 2" xfId="2021" xr:uid="{00000000-0005-0000-0000-000075070000}"/>
    <cellStyle name="60% - Accent5 5" xfId="2022" xr:uid="{00000000-0005-0000-0000-000076070000}"/>
    <cellStyle name="60% - Accent5 5 2" xfId="2023" xr:uid="{00000000-0005-0000-0000-000077070000}"/>
    <cellStyle name="60% - Accent5 6" xfId="2024" xr:uid="{00000000-0005-0000-0000-000078070000}"/>
    <cellStyle name="60% - Accent5 6 2" xfId="2025" xr:uid="{00000000-0005-0000-0000-000079070000}"/>
    <cellStyle name="60% - Accent5 7" xfId="2026" xr:uid="{00000000-0005-0000-0000-00007A070000}"/>
    <cellStyle name="60% - Accent5 7 2" xfId="2027" xr:uid="{00000000-0005-0000-0000-00007B070000}"/>
    <cellStyle name="60% - Accent5 8" xfId="2028" xr:uid="{00000000-0005-0000-0000-00007C070000}"/>
    <cellStyle name="60% - Accent5 8 2" xfId="2029" xr:uid="{00000000-0005-0000-0000-00007D070000}"/>
    <cellStyle name="60% - Accent5 9" xfId="2030" xr:uid="{00000000-0005-0000-0000-00007E070000}"/>
    <cellStyle name="60% - Accent5 9 2" xfId="2031" xr:uid="{00000000-0005-0000-0000-00007F070000}"/>
    <cellStyle name="60% - Accent6 10" xfId="2032" xr:uid="{00000000-0005-0000-0000-000081070000}"/>
    <cellStyle name="60% - Accent6 10 2" xfId="2033" xr:uid="{00000000-0005-0000-0000-000082070000}"/>
    <cellStyle name="60% - Accent6 11" xfId="2034" xr:uid="{00000000-0005-0000-0000-000083070000}"/>
    <cellStyle name="60% - Accent6 11 2" xfId="2035" xr:uid="{00000000-0005-0000-0000-000084070000}"/>
    <cellStyle name="60% - Accent6 12" xfId="2036" xr:uid="{00000000-0005-0000-0000-000085070000}"/>
    <cellStyle name="60% - Accent6 12 2" xfId="2037" xr:uid="{00000000-0005-0000-0000-000086070000}"/>
    <cellStyle name="60% - Accent6 13" xfId="2038" xr:uid="{00000000-0005-0000-0000-000087070000}"/>
    <cellStyle name="60% - Accent6 13 2" xfId="2039" xr:uid="{00000000-0005-0000-0000-000088070000}"/>
    <cellStyle name="60% - Accent6 14" xfId="2040" xr:uid="{00000000-0005-0000-0000-000089070000}"/>
    <cellStyle name="60% - Accent6 14 2" xfId="2041" xr:uid="{00000000-0005-0000-0000-00008A070000}"/>
    <cellStyle name="60% - Accent6 15" xfId="2042" xr:uid="{00000000-0005-0000-0000-00008B070000}"/>
    <cellStyle name="60% - Accent6 15 2" xfId="2043" xr:uid="{00000000-0005-0000-0000-00008C070000}"/>
    <cellStyle name="60% - Accent6 16" xfId="2044" xr:uid="{00000000-0005-0000-0000-00008D070000}"/>
    <cellStyle name="60% - Accent6 16 2" xfId="2045" xr:uid="{00000000-0005-0000-0000-00008E070000}"/>
    <cellStyle name="60% - Accent6 17" xfId="2046" xr:uid="{00000000-0005-0000-0000-00008F070000}"/>
    <cellStyle name="60% - Accent6 17 2" xfId="2047" xr:uid="{00000000-0005-0000-0000-000090070000}"/>
    <cellStyle name="60% - Accent6 18" xfId="2048" xr:uid="{00000000-0005-0000-0000-000091070000}"/>
    <cellStyle name="60% - Accent6 18 2" xfId="2049" xr:uid="{00000000-0005-0000-0000-000092070000}"/>
    <cellStyle name="60% - Accent6 2" xfId="2050" xr:uid="{00000000-0005-0000-0000-000093070000}"/>
    <cellStyle name="60% - Accent6 2 2" xfId="2051" xr:uid="{00000000-0005-0000-0000-000094070000}"/>
    <cellStyle name="60% - Accent6 2 3" xfId="2052" xr:uid="{00000000-0005-0000-0000-000095070000}"/>
    <cellStyle name="60% - Accent6 3" xfId="2053" xr:uid="{00000000-0005-0000-0000-000096070000}"/>
    <cellStyle name="60% - Accent6 3 2" xfId="2054" xr:uid="{00000000-0005-0000-0000-000097070000}"/>
    <cellStyle name="60% - Accent6 4" xfId="2055" xr:uid="{00000000-0005-0000-0000-000098070000}"/>
    <cellStyle name="60% - Accent6 4 2" xfId="2056" xr:uid="{00000000-0005-0000-0000-000099070000}"/>
    <cellStyle name="60% - Accent6 5" xfId="2057" xr:uid="{00000000-0005-0000-0000-00009A070000}"/>
    <cellStyle name="60% - Accent6 5 2" xfId="2058" xr:uid="{00000000-0005-0000-0000-00009B070000}"/>
    <cellStyle name="60% - Accent6 6" xfId="2059" xr:uid="{00000000-0005-0000-0000-00009C070000}"/>
    <cellStyle name="60% - Accent6 6 2" xfId="2060" xr:uid="{00000000-0005-0000-0000-00009D070000}"/>
    <cellStyle name="60% - Accent6 7" xfId="2061" xr:uid="{00000000-0005-0000-0000-00009E070000}"/>
    <cellStyle name="60% - Accent6 7 2" xfId="2062" xr:uid="{00000000-0005-0000-0000-00009F070000}"/>
    <cellStyle name="60% - Accent6 8" xfId="2063" xr:uid="{00000000-0005-0000-0000-0000A0070000}"/>
    <cellStyle name="60% - Accent6 8 2" xfId="2064" xr:uid="{00000000-0005-0000-0000-0000A1070000}"/>
    <cellStyle name="60% - Accent6 9" xfId="2065" xr:uid="{00000000-0005-0000-0000-0000A2070000}"/>
    <cellStyle name="60% - Accent6 9 2" xfId="2066" xr:uid="{00000000-0005-0000-0000-0000A3070000}"/>
    <cellStyle name="60% – rõhk1" xfId="13" builtinId="32" customBuiltin="1"/>
    <cellStyle name="60% – rõhk1 2" xfId="2067" xr:uid="{00000000-0005-0000-0000-0000A4070000}"/>
    <cellStyle name="60% – rõhk1 3" xfId="3901" xr:uid="{B32C7175-1058-462D-9861-C27791C5267C}"/>
    <cellStyle name="60% – rõhk2" xfId="14" builtinId="36" customBuiltin="1"/>
    <cellStyle name="60% – rõhk2 2" xfId="2068" xr:uid="{00000000-0005-0000-0000-0000A5070000}"/>
    <cellStyle name="60% – rõhk2 3" xfId="3902" xr:uid="{D45F0BBC-43E9-4EA4-BC9C-C9E27C52A18D}"/>
    <cellStyle name="60% – rõhk3" xfId="15" builtinId="40" customBuiltin="1"/>
    <cellStyle name="60% – rõhk3 2" xfId="2069" xr:uid="{00000000-0005-0000-0000-0000A6070000}"/>
    <cellStyle name="60% – rõhk3 3" xfId="3903" xr:uid="{E2ACC1E4-D296-461C-8D17-3BF2160E38DA}"/>
    <cellStyle name="60% – rõhk4" xfId="16" builtinId="44" customBuiltin="1"/>
    <cellStyle name="60% – rõhk4 2" xfId="2070" xr:uid="{00000000-0005-0000-0000-0000A7070000}"/>
    <cellStyle name="60% – rõhk4 3" xfId="3904" xr:uid="{5194DDED-214E-41DE-B102-2D312361D55B}"/>
    <cellStyle name="60% – rõhk5" xfId="17" builtinId="48" customBuiltin="1"/>
    <cellStyle name="60% – rõhk5 2" xfId="2071" xr:uid="{00000000-0005-0000-0000-0000A8070000}"/>
    <cellStyle name="60% – rõhk5 3" xfId="3905" xr:uid="{0B805FEA-C220-4573-9B6D-93AFAE8ADEEB}"/>
    <cellStyle name="60% – rõhk6" xfId="18" builtinId="52" customBuiltin="1"/>
    <cellStyle name="60% – rõhk6 2" xfId="2072" xr:uid="{00000000-0005-0000-0000-0000A9070000}"/>
    <cellStyle name="60% – rõhk6 3" xfId="3906" xr:uid="{0A84BA3C-2E63-4535-8172-B5CBF73D277B}"/>
    <cellStyle name="Accent1 10" xfId="2073" xr:uid="{00000000-0005-0000-0000-0000AB070000}"/>
    <cellStyle name="Accent1 10 2" xfId="2074" xr:uid="{00000000-0005-0000-0000-0000AC070000}"/>
    <cellStyle name="Accent1 11" xfId="2075" xr:uid="{00000000-0005-0000-0000-0000AD070000}"/>
    <cellStyle name="Accent1 11 2" xfId="2076" xr:uid="{00000000-0005-0000-0000-0000AE070000}"/>
    <cellStyle name="Accent1 12" xfId="2077" xr:uid="{00000000-0005-0000-0000-0000AF070000}"/>
    <cellStyle name="Accent1 12 2" xfId="2078" xr:uid="{00000000-0005-0000-0000-0000B0070000}"/>
    <cellStyle name="Accent1 13" xfId="2079" xr:uid="{00000000-0005-0000-0000-0000B1070000}"/>
    <cellStyle name="Accent1 13 2" xfId="2080" xr:uid="{00000000-0005-0000-0000-0000B2070000}"/>
    <cellStyle name="Accent1 14" xfId="2081" xr:uid="{00000000-0005-0000-0000-0000B3070000}"/>
    <cellStyle name="Accent1 14 2" xfId="2082" xr:uid="{00000000-0005-0000-0000-0000B4070000}"/>
    <cellStyle name="Accent1 15" xfId="2083" xr:uid="{00000000-0005-0000-0000-0000B5070000}"/>
    <cellStyle name="Accent1 15 2" xfId="2084" xr:uid="{00000000-0005-0000-0000-0000B6070000}"/>
    <cellStyle name="Accent1 16" xfId="2085" xr:uid="{00000000-0005-0000-0000-0000B7070000}"/>
    <cellStyle name="Accent1 16 2" xfId="2086" xr:uid="{00000000-0005-0000-0000-0000B8070000}"/>
    <cellStyle name="Accent1 17" xfId="2087" xr:uid="{00000000-0005-0000-0000-0000B9070000}"/>
    <cellStyle name="Accent1 17 2" xfId="2088" xr:uid="{00000000-0005-0000-0000-0000BA070000}"/>
    <cellStyle name="Accent1 18" xfId="2089" xr:uid="{00000000-0005-0000-0000-0000BB070000}"/>
    <cellStyle name="Accent1 18 2" xfId="2090" xr:uid="{00000000-0005-0000-0000-0000BC070000}"/>
    <cellStyle name="Accent1 2" xfId="2091" xr:uid="{00000000-0005-0000-0000-0000BD070000}"/>
    <cellStyle name="Accent1 2 2" xfId="2092" xr:uid="{00000000-0005-0000-0000-0000BE070000}"/>
    <cellStyle name="Accent1 2 3" xfId="2093" xr:uid="{00000000-0005-0000-0000-0000BF070000}"/>
    <cellStyle name="Accent1 3" xfId="2094" xr:uid="{00000000-0005-0000-0000-0000C0070000}"/>
    <cellStyle name="Accent1 3 2" xfId="2095" xr:uid="{00000000-0005-0000-0000-0000C1070000}"/>
    <cellStyle name="Accent1 4" xfId="2096" xr:uid="{00000000-0005-0000-0000-0000C2070000}"/>
    <cellStyle name="Accent1 4 2" xfId="2097" xr:uid="{00000000-0005-0000-0000-0000C3070000}"/>
    <cellStyle name="Accent1 5" xfId="2098" xr:uid="{00000000-0005-0000-0000-0000C4070000}"/>
    <cellStyle name="Accent1 5 2" xfId="2099" xr:uid="{00000000-0005-0000-0000-0000C5070000}"/>
    <cellStyle name="Accent1 6" xfId="2100" xr:uid="{00000000-0005-0000-0000-0000C6070000}"/>
    <cellStyle name="Accent1 6 2" xfId="2101" xr:uid="{00000000-0005-0000-0000-0000C7070000}"/>
    <cellStyle name="Accent1 7" xfId="2102" xr:uid="{00000000-0005-0000-0000-0000C8070000}"/>
    <cellStyle name="Accent1 7 2" xfId="2103" xr:uid="{00000000-0005-0000-0000-0000C9070000}"/>
    <cellStyle name="Accent1 8" xfId="2104" xr:uid="{00000000-0005-0000-0000-0000CA070000}"/>
    <cellStyle name="Accent1 8 2" xfId="2105" xr:uid="{00000000-0005-0000-0000-0000CB070000}"/>
    <cellStyle name="Accent1 9" xfId="2106" xr:uid="{00000000-0005-0000-0000-0000CC070000}"/>
    <cellStyle name="Accent1 9 2" xfId="2107" xr:uid="{00000000-0005-0000-0000-0000CD070000}"/>
    <cellStyle name="Accent2 10" xfId="2108" xr:uid="{00000000-0005-0000-0000-0000CF070000}"/>
    <cellStyle name="Accent2 10 2" xfId="2109" xr:uid="{00000000-0005-0000-0000-0000D0070000}"/>
    <cellStyle name="Accent2 11" xfId="2110" xr:uid="{00000000-0005-0000-0000-0000D1070000}"/>
    <cellStyle name="Accent2 11 2" xfId="2111" xr:uid="{00000000-0005-0000-0000-0000D2070000}"/>
    <cellStyle name="Accent2 12" xfId="2112" xr:uid="{00000000-0005-0000-0000-0000D3070000}"/>
    <cellStyle name="Accent2 12 2" xfId="2113" xr:uid="{00000000-0005-0000-0000-0000D4070000}"/>
    <cellStyle name="Accent2 13" xfId="2114" xr:uid="{00000000-0005-0000-0000-0000D5070000}"/>
    <cellStyle name="Accent2 13 2" xfId="2115" xr:uid="{00000000-0005-0000-0000-0000D6070000}"/>
    <cellStyle name="Accent2 14" xfId="2116" xr:uid="{00000000-0005-0000-0000-0000D7070000}"/>
    <cellStyle name="Accent2 14 2" xfId="2117" xr:uid="{00000000-0005-0000-0000-0000D8070000}"/>
    <cellStyle name="Accent2 15" xfId="2118" xr:uid="{00000000-0005-0000-0000-0000D9070000}"/>
    <cellStyle name="Accent2 15 2" xfId="2119" xr:uid="{00000000-0005-0000-0000-0000DA070000}"/>
    <cellStyle name="Accent2 16" xfId="2120" xr:uid="{00000000-0005-0000-0000-0000DB070000}"/>
    <cellStyle name="Accent2 16 2" xfId="2121" xr:uid="{00000000-0005-0000-0000-0000DC070000}"/>
    <cellStyle name="Accent2 17" xfId="2122" xr:uid="{00000000-0005-0000-0000-0000DD070000}"/>
    <cellStyle name="Accent2 17 2" xfId="2123" xr:uid="{00000000-0005-0000-0000-0000DE070000}"/>
    <cellStyle name="Accent2 18" xfId="2124" xr:uid="{00000000-0005-0000-0000-0000DF070000}"/>
    <cellStyle name="Accent2 18 2" xfId="2125" xr:uid="{00000000-0005-0000-0000-0000E0070000}"/>
    <cellStyle name="Accent2 2" xfId="2126" xr:uid="{00000000-0005-0000-0000-0000E1070000}"/>
    <cellStyle name="Accent2 2 2" xfId="2127" xr:uid="{00000000-0005-0000-0000-0000E2070000}"/>
    <cellStyle name="Accent2 2 3" xfId="2128" xr:uid="{00000000-0005-0000-0000-0000E3070000}"/>
    <cellStyle name="Accent2 3" xfId="2129" xr:uid="{00000000-0005-0000-0000-0000E4070000}"/>
    <cellStyle name="Accent2 3 2" xfId="2130" xr:uid="{00000000-0005-0000-0000-0000E5070000}"/>
    <cellStyle name="Accent2 4" xfId="2131" xr:uid="{00000000-0005-0000-0000-0000E6070000}"/>
    <cellStyle name="Accent2 4 2" xfId="2132" xr:uid="{00000000-0005-0000-0000-0000E7070000}"/>
    <cellStyle name="Accent2 5" xfId="2133" xr:uid="{00000000-0005-0000-0000-0000E8070000}"/>
    <cellStyle name="Accent2 5 2" xfId="2134" xr:uid="{00000000-0005-0000-0000-0000E9070000}"/>
    <cellStyle name="Accent2 6" xfId="2135" xr:uid="{00000000-0005-0000-0000-0000EA070000}"/>
    <cellStyle name="Accent2 6 2" xfId="2136" xr:uid="{00000000-0005-0000-0000-0000EB070000}"/>
    <cellStyle name="Accent2 7" xfId="2137" xr:uid="{00000000-0005-0000-0000-0000EC070000}"/>
    <cellStyle name="Accent2 7 2" xfId="2138" xr:uid="{00000000-0005-0000-0000-0000ED070000}"/>
    <cellStyle name="Accent2 8" xfId="2139" xr:uid="{00000000-0005-0000-0000-0000EE070000}"/>
    <cellStyle name="Accent2 8 2" xfId="2140" xr:uid="{00000000-0005-0000-0000-0000EF070000}"/>
    <cellStyle name="Accent2 9" xfId="2141" xr:uid="{00000000-0005-0000-0000-0000F0070000}"/>
    <cellStyle name="Accent2 9 2" xfId="2142" xr:uid="{00000000-0005-0000-0000-0000F1070000}"/>
    <cellStyle name="Accent3 10" xfId="2143" xr:uid="{00000000-0005-0000-0000-0000F3070000}"/>
    <cellStyle name="Accent3 10 2" xfId="2144" xr:uid="{00000000-0005-0000-0000-0000F4070000}"/>
    <cellStyle name="Accent3 11" xfId="2145" xr:uid="{00000000-0005-0000-0000-0000F5070000}"/>
    <cellStyle name="Accent3 11 2" xfId="2146" xr:uid="{00000000-0005-0000-0000-0000F6070000}"/>
    <cellStyle name="Accent3 12" xfId="2147" xr:uid="{00000000-0005-0000-0000-0000F7070000}"/>
    <cellStyle name="Accent3 12 2" xfId="2148" xr:uid="{00000000-0005-0000-0000-0000F8070000}"/>
    <cellStyle name="Accent3 13" xfId="2149" xr:uid="{00000000-0005-0000-0000-0000F9070000}"/>
    <cellStyle name="Accent3 13 2" xfId="2150" xr:uid="{00000000-0005-0000-0000-0000FA070000}"/>
    <cellStyle name="Accent3 14" xfId="2151" xr:uid="{00000000-0005-0000-0000-0000FB070000}"/>
    <cellStyle name="Accent3 14 2" xfId="2152" xr:uid="{00000000-0005-0000-0000-0000FC070000}"/>
    <cellStyle name="Accent3 15" xfId="2153" xr:uid="{00000000-0005-0000-0000-0000FD070000}"/>
    <cellStyle name="Accent3 15 2" xfId="2154" xr:uid="{00000000-0005-0000-0000-0000FE070000}"/>
    <cellStyle name="Accent3 16" xfId="2155" xr:uid="{00000000-0005-0000-0000-0000FF070000}"/>
    <cellStyle name="Accent3 16 2" xfId="2156" xr:uid="{00000000-0005-0000-0000-000000080000}"/>
    <cellStyle name="Accent3 17" xfId="2157" xr:uid="{00000000-0005-0000-0000-000001080000}"/>
    <cellStyle name="Accent3 17 2" xfId="2158" xr:uid="{00000000-0005-0000-0000-000002080000}"/>
    <cellStyle name="Accent3 18" xfId="2159" xr:uid="{00000000-0005-0000-0000-000003080000}"/>
    <cellStyle name="Accent3 18 2" xfId="2160" xr:uid="{00000000-0005-0000-0000-000004080000}"/>
    <cellStyle name="Accent3 2" xfId="2161" xr:uid="{00000000-0005-0000-0000-000005080000}"/>
    <cellStyle name="Accent3 2 2" xfId="2162" xr:uid="{00000000-0005-0000-0000-000006080000}"/>
    <cellStyle name="Accent3 2 3" xfId="2163" xr:uid="{00000000-0005-0000-0000-000007080000}"/>
    <cellStyle name="Accent3 3" xfId="2164" xr:uid="{00000000-0005-0000-0000-000008080000}"/>
    <cellStyle name="Accent3 3 2" xfId="2165" xr:uid="{00000000-0005-0000-0000-000009080000}"/>
    <cellStyle name="Accent3 4" xfId="2166" xr:uid="{00000000-0005-0000-0000-00000A080000}"/>
    <cellStyle name="Accent3 4 2" xfId="2167" xr:uid="{00000000-0005-0000-0000-00000B080000}"/>
    <cellStyle name="Accent3 5" xfId="2168" xr:uid="{00000000-0005-0000-0000-00000C080000}"/>
    <cellStyle name="Accent3 5 2" xfId="2169" xr:uid="{00000000-0005-0000-0000-00000D080000}"/>
    <cellStyle name="Accent3 6" xfId="2170" xr:uid="{00000000-0005-0000-0000-00000E080000}"/>
    <cellStyle name="Accent3 6 2" xfId="2171" xr:uid="{00000000-0005-0000-0000-00000F080000}"/>
    <cellStyle name="Accent3 7" xfId="2172" xr:uid="{00000000-0005-0000-0000-000010080000}"/>
    <cellStyle name="Accent3 7 2" xfId="2173" xr:uid="{00000000-0005-0000-0000-000011080000}"/>
    <cellStyle name="Accent3 8" xfId="2174" xr:uid="{00000000-0005-0000-0000-000012080000}"/>
    <cellStyle name="Accent3 8 2" xfId="2175" xr:uid="{00000000-0005-0000-0000-000013080000}"/>
    <cellStyle name="Accent3 9" xfId="2176" xr:uid="{00000000-0005-0000-0000-000014080000}"/>
    <cellStyle name="Accent3 9 2" xfId="2177" xr:uid="{00000000-0005-0000-0000-000015080000}"/>
    <cellStyle name="Accent4 10" xfId="2178" xr:uid="{00000000-0005-0000-0000-000017080000}"/>
    <cellStyle name="Accent4 10 2" xfId="2179" xr:uid="{00000000-0005-0000-0000-000018080000}"/>
    <cellStyle name="Accent4 11" xfId="2180" xr:uid="{00000000-0005-0000-0000-000019080000}"/>
    <cellStyle name="Accent4 11 2" xfId="2181" xr:uid="{00000000-0005-0000-0000-00001A080000}"/>
    <cellStyle name="Accent4 12" xfId="2182" xr:uid="{00000000-0005-0000-0000-00001B080000}"/>
    <cellStyle name="Accent4 12 2" xfId="2183" xr:uid="{00000000-0005-0000-0000-00001C080000}"/>
    <cellStyle name="Accent4 13" xfId="2184" xr:uid="{00000000-0005-0000-0000-00001D080000}"/>
    <cellStyle name="Accent4 13 2" xfId="2185" xr:uid="{00000000-0005-0000-0000-00001E080000}"/>
    <cellStyle name="Accent4 14" xfId="2186" xr:uid="{00000000-0005-0000-0000-00001F080000}"/>
    <cellStyle name="Accent4 14 2" xfId="2187" xr:uid="{00000000-0005-0000-0000-000020080000}"/>
    <cellStyle name="Accent4 15" xfId="2188" xr:uid="{00000000-0005-0000-0000-000021080000}"/>
    <cellStyle name="Accent4 15 2" xfId="2189" xr:uid="{00000000-0005-0000-0000-000022080000}"/>
    <cellStyle name="Accent4 16" xfId="2190" xr:uid="{00000000-0005-0000-0000-000023080000}"/>
    <cellStyle name="Accent4 16 2" xfId="2191" xr:uid="{00000000-0005-0000-0000-000024080000}"/>
    <cellStyle name="Accent4 17" xfId="2192" xr:uid="{00000000-0005-0000-0000-000025080000}"/>
    <cellStyle name="Accent4 17 2" xfId="2193" xr:uid="{00000000-0005-0000-0000-000026080000}"/>
    <cellStyle name="Accent4 18" xfId="2194" xr:uid="{00000000-0005-0000-0000-000027080000}"/>
    <cellStyle name="Accent4 18 2" xfId="2195" xr:uid="{00000000-0005-0000-0000-000028080000}"/>
    <cellStyle name="Accent4 2" xfId="2196" xr:uid="{00000000-0005-0000-0000-000029080000}"/>
    <cellStyle name="Accent4 2 2" xfId="2197" xr:uid="{00000000-0005-0000-0000-00002A080000}"/>
    <cellStyle name="Accent4 2 3" xfId="2198" xr:uid="{00000000-0005-0000-0000-00002B080000}"/>
    <cellStyle name="Accent4 3" xfId="2199" xr:uid="{00000000-0005-0000-0000-00002C080000}"/>
    <cellStyle name="Accent4 3 2" xfId="2200" xr:uid="{00000000-0005-0000-0000-00002D080000}"/>
    <cellStyle name="Accent4 4" xfId="2201" xr:uid="{00000000-0005-0000-0000-00002E080000}"/>
    <cellStyle name="Accent4 4 2" xfId="2202" xr:uid="{00000000-0005-0000-0000-00002F080000}"/>
    <cellStyle name="Accent4 5" xfId="2203" xr:uid="{00000000-0005-0000-0000-000030080000}"/>
    <cellStyle name="Accent4 5 2" xfId="2204" xr:uid="{00000000-0005-0000-0000-000031080000}"/>
    <cellStyle name="Accent4 6" xfId="2205" xr:uid="{00000000-0005-0000-0000-000032080000}"/>
    <cellStyle name="Accent4 6 2" xfId="2206" xr:uid="{00000000-0005-0000-0000-000033080000}"/>
    <cellStyle name="Accent4 7" xfId="2207" xr:uid="{00000000-0005-0000-0000-000034080000}"/>
    <cellStyle name="Accent4 7 2" xfId="2208" xr:uid="{00000000-0005-0000-0000-000035080000}"/>
    <cellStyle name="Accent4 8" xfId="2209" xr:uid="{00000000-0005-0000-0000-000036080000}"/>
    <cellStyle name="Accent4 8 2" xfId="2210" xr:uid="{00000000-0005-0000-0000-000037080000}"/>
    <cellStyle name="Accent4 9" xfId="2211" xr:uid="{00000000-0005-0000-0000-000038080000}"/>
    <cellStyle name="Accent4 9 2" xfId="2212" xr:uid="{00000000-0005-0000-0000-000039080000}"/>
    <cellStyle name="Accent5 10" xfId="2213" xr:uid="{00000000-0005-0000-0000-00003B080000}"/>
    <cellStyle name="Accent5 10 2" xfId="2214" xr:uid="{00000000-0005-0000-0000-00003C080000}"/>
    <cellStyle name="Accent5 11" xfId="2215" xr:uid="{00000000-0005-0000-0000-00003D080000}"/>
    <cellStyle name="Accent5 11 2" xfId="2216" xr:uid="{00000000-0005-0000-0000-00003E080000}"/>
    <cellStyle name="Accent5 12" xfId="2217" xr:uid="{00000000-0005-0000-0000-00003F080000}"/>
    <cellStyle name="Accent5 12 2" xfId="2218" xr:uid="{00000000-0005-0000-0000-000040080000}"/>
    <cellStyle name="Accent5 13" xfId="2219" xr:uid="{00000000-0005-0000-0000-000041080000}"/>
    <cellStyle name="Accent5 13 2" xfId="2220" xr:uid="{00000000-0005-0000-0000-000042080000}"/>
    <cellStyle name="Accent5 14" xfId="2221" xr:uid="{00000000-0005-0000-0000-000043080000}"/>
    <cellStyle name="Accent5 14 2" xfId="2222" xr:uid="{00000000-0005-0000-0000-000044080000}"/>
    <cellStyle name="Accent5 15" xfId="2223" xr:uid="{00000000-0005-0000-0000-000045080000}"/>
    <cellStyle name="Accent5 15 2" xfId="2224" xr:uid="{00000000-0005-0000-0000-000046080000}"/>
    <cellStyle name="Accent5 16" xfId="2225" xr:uid="{00000000-0005-0000-0000-000047080000}"/>
    <cellStyle name="Accent5 16 2" xfId="2226" xr:uid="{00000000-0005-0000-0000-000048080000}"/>
    <cellStyle name="Accent5 17" xfId="2227" xr:uid="{00000000-0005-0000-0000-000049080000}"/>
    <cellStyle name="Accent5 17 2" xfId="2228" xr:uid="{00000000-0005-0000-0000-00004A080000}"/>
    <cellStyle name="Accent5 18" xfId="2229" xr:uid="{00000000-0005-0000-0000-00004B080000}"/>
    <cellStyle name="Accent5 18 2" xfId="2230" xr:uid="{00000000-0005-0000-0000-00004C080000}"/>
    <cellStyle name="Accent5 2" xfId="2231" xr:uid="{00000000-0005-0000-0000-00004D080000}"/>
    <cellStyle name="Accent5 2 2" xfId="2232" xr:uid="{00000000-0005-0000-0000-00004E080000}"/>
    <cellStyle name="Accent5 2 3" xfId="2233" xr:uid="{00000000-0005-0000-0000-00004F080000}"/>
    <cellStyle name="Accent5 3" xfId="2234" xr:uid="{00000000-0005-0000-0000-000050080000}"/>
    <cellStyle name="Accent5 3 2" xfId="2235" xr:uid="{00000000-0005-0000-0000-000051080000}"/>
    <cellStyle name="Accent5 4" xfId="2236" xr:uid="{00000000-0005-0000-0000-000052080000}"/>
    <cellStyle name="Accent5 4 2" xfId="2237" xr:uid="{00000000-0005-0000-0000-000053080000}"/>
    <cellStyle name="Accent5 5" xfId="2238" xr:uid="{00000000-0005-0000-0000-000054080000}"/>
    <cellStyle name="Accent5 5 2" xfId="2239" xr:uid="{00000000-0005-0000-0000-000055080000}"/>
    <cellStyle name="Accent5 6" xfId="2240" xr:uid="{00000000-0005-0000-0000-000056080000}"/>
    <cellStyle name="Accent5 6 2" xfId="2241" xr:uid="{00000000-0005-0000-0000-000057080000}"/>
    <cellStyle name="Accent5 7" xfId="2242" xr:uid="{00000000-0005-0000-0000-000058080000}"/>
    <cellStyle name="Accent5 7 2" xfId="2243" xr:uid="{00000000-0005-0000-0000-000059080000}"/>
    <cellStyle name="Accent5 8" xfId="2244" xr:uid="{00000000-0005-0000-0000-00005A080000}"/>
    <cellStyle name="Accent5 8 2" xfId="2245" xr:uid="{00000000-0005-0000-0000-00005B080000}"/>
    <cellStyle name="Accent5 9" xfId="2246" xr:uid="{00000000-0005-0000-0000-00005C080000}"/>
    <cellStyle name="Accent5 9 2" xfId="2247" xr:uid="{00000000-0005-0000-0000-00005D080000}"/>
    <cellStyle name="Accent6 10" xfId="2248" xr:uid="{00000000-0005-0000-0000-00005F080000}"/>
    <cellStyle name="Accent6 10 2" xfId="2249" xr:uid="{00000000-0005-0000-0000-000060080000}"/>
    <cellStyle name="Accent6 11" xfId="2250" xr:uid="{00000000-0005-0000-0000-000061080000}"/>
    <cellStyle name="Accent6 11 2" xfId="2251" xr:uid="{00000000-0005-0000-0000-000062080000}"/>
    <cellStyle name="Accent6 12" xfId="2252" xr:uid="{00000000-0005-0000-0000-000063080000}"/>
    <cellStyle name="Accent6 12 2" xfId="2253" xr:uid="{00000000-0005-0000-0000-000064080000}"/>
    <cellStyle name="Accent6 13" xfId="2254" xr:uid="{00000000-0005-0000-0000-000065080000}"/>
    <cellStyle name="Accent6 13 2" xfId="2255" xr:uid="{00000000-0005-0000-0000-000066080000}"/>
    <cellStyle name="Accent6 14" xfId="2256" xr:uid="{00000000-0005-0000-0000-000067080000}"/>
    <cellStyle name="Accent6 14 2" xfId="2257" xr:uid="{00000000-0005-0000-0000-000068080000}"/>
    <cellStyle name="Accent6 15" xfId="2258" xr:uid="{00000000-0005-0000-0000-000069080000}"/>
    <cellStyle name="Accent6 15 2" xfId="2259" xr:uid="{00000000-0005-0000-0000-00006A080000}"/>
    <cellStyle name="Accent6 16" xfId="2260" xr:uid="{00000000-0005-0000-0000-00006B080000}"/>
    <cellStyle name="Accent6 16 2" xfId="2261" xr:uid="{00000000-0005-0000-0000-00006C080000}"/>
    <cellStyle name="Accent6 17" xfId="2262" xr:uid="{00000000-0005-0000-0000-00006D080000}"/>
    <cellStyle name="Accent6 17 2" xfId="2263" xr:uid="{00000000-0005-0000-0000-00006E080000}"/>
    <cellStyle name="Accent6 18" xfId="2264" xr:uid="{00000000-0005-0000-0000-00006F080000}"/>
    <cellStyle name="Accent6 18 2" xfId="2265" xr:uid="{00000000-0005-0000-0000-000070080000}"/>
    <cellStyle name="Accent6 2" xfId="2266" xr:uid="{00000000-0005-0000-0000-000071080000}"/>
    <cellStyle name="Accent6 2 2" xfId="2267" xr:uid="{00000000-0005-0000-0000-000072080000}"/>
    <cellStyle name="Accent6 2 3" xfId="2268" xr:uid="{00000000-0005-0000-0000-000073080000}"/>
    <cellStyle name="Accent6 3" xfId="2269" xr:uid="{00000000-0005-0000-0000-000074080000}"/>
    <cellStyle name="Accent6 3 2" xfId="2270" xr:uid="{00000000-0005-0000-0000-000075080000}"/>
    <cellStyle name="Accent6 4" xfId="2271" xr:uid="{00000000-0005-0000-0000-000076080000}"/>
    <cellStyle name="Accent6 4 2" xfId="2272" xr:uid="{00000000-0005-0000-0000-000077080000}"/>
    <cellStyle name="Accent6 5" xfId="2273" xr:uid="{00000000-0005-0000-0000-000078080000}"/>
    <cellStyle name="Accent6 5 2" xfId="2274" xr:uid="{00000000-0005-0000-0000-000079080000}"/>
    <cellStyle name="Accent6 6" xfId="2275" xr:uid="{00000000-0005-0000-0000-00007A080000}"/>
    <cellStyle name="Accent6 6 2" xfId="2276" xr:uid="{00000000-0005-0000-0000-00007B080000}"/>
    <cellStyle name="Accent6 7" xfId="2277" xr:uid="{00000000-0005-0000-0000-00007C080000}"/>
    <cellStyle name="Accent6 7 2" xfId="2278" xr:uid="{00000000-0005-0000-0000-00007D080000}"/>
    <cellStyle name="Accent6 8" xfId="2279" xr:uid="{00000000-0005-0000-0000-00007E080000}"/>
    <cellStyle name="Accent6 8 2" xfId="2280" xr:uid="{00000000-0005-0000-0000-00007F080000}"/>
    <cellStyle name="Accent6 9" xfId="2281" xr:uid="{00000000-0005-0000-0000-000080080000}"/>
    <cellStyle name="Accent6 9 2" xfId="2282" xr:uid="{00000000-0005-0000-0000-000081080000}"/>
    <cellStyle name="Arvutus" xfId="26" xr:uid="{00000000-0005-0000-0000-000082080000}"/>
    <cellStyle name="Arvutus 2" xfId="2283" xr:uid="{00000000-0005-0000-0000-000083080000}"/>
    <cellStyle name="Arvutus 3" xfId="3907" xr:uid="{BAD457C0-48EF-466B-B0B6-00F93E580EA1}"/>
    <cellStyle name="Bad 10" xfId="2284" xr:uid="{00000000-0005-0000-0000-000085080000}"/>
    <cellStyle name="Bad 10 2" xfId="2285" xr:uid="{00000000-0005-0000-0000-000086080000}"/>
    <cellStyle name="Bad 11" xfId="2286" xr:uid="{00000000-0005-0000-0000-000087080000}"/>
    <cellStyle name="Bad 11 2" xfId="2287" xr:uid="{00000000-0005-0000-0000-000088080000}"/>
    <cellStyle name="Bad 12" xfId="2288" xr:uid="{00000000-0005-0000-0000-000089080000}"/>
    <cellStyle name="Bad 12 2" xfId="2289" xr:uid="{00000000-0005-0000-0000-00008A080000}"/>
    <cellStyle name="Bad 13" xfId="2290" xr:uid="{00000000-0005-0000-0000-00008B080000}"/>
    <cellStyle name="Bad 13 2" xfId="2291" xr:uid="{00000000-0005-0000-0000-00008C080000}"/>
    <cellStyle name="Bad 14" xfId="2292" xr:uid="{00000000-0005-0000-0000-00008D080000}"/>
    <cellStyle name="Bad 14 2" xfId="2293" xr:uid="{00000000-0005-0000-0000-00008E080000}"/>
    <cellStyle name="Bad 15" xfId="2294" xr:uid="{00000000-0005-0000-0000-00008F080000}"/>
    <cellStyle name="Bad 15 2" xfId="2295" xr:uid="{00000000-0005-0000-0000-000090080000}"/>
    <cellStyle name="Bad 16" xfId="2296" xr:uid="{00000000-0005-0000-0000-000091080000}"/>
    <cellStyle name="Bad 16 2" xfId="2297" xr:uid="{00000000-0005-0000-0000-000092080000}"/>
    <cellStyle name="Bad 17" xfId="2298" xr:uid="{00000000-0005-0000-0000-000093080000}"/>
    <cellStyle name="Bad 17 2" xfId="2299" xr:uid="{00000000-0005-0000-0000-000094080000}"/>
    <cellStyle name="Bad 18" xfId="2300" xr:uid="{00000000-0005-0000-0000-000095080000}"/>
    <cellStyle name="Bad 18 2" xfId="2301" xr:uid="{00000000-0005-0000-0000-000096080000}"/>
    <cellStyle name="Bad 2" xfId="2302" xr:uid="{00000000-0005-0000-0000-000097080000}"/>
    <cellStyle name="Bad 2 2" xfId="2303" xr:uid="{00000000-0005-0000-0000-000098080000}"/>
    <cellStyle name="Bad 2 3" xfId="2304" xr:uid="{00000000-0005-0000-0000-000099080000}"/>
    <cellStyle name="Bad 3" xfId="2305" xr:uid="{00000000-0005-0000-0000-00009A080000}"/>
    <cellStyle name="Bad 3 2" xfId="2306" xr:uid="{00000000-0005-0000-0000-00009B080000}"/>
    <cellStyle name="Bad 4" xfId="2307" xr:uid="{00000000-0005-0000-0000-00009C080000}"/>
    <cellStyle name="Bad 4 2" xfId="2308" xr:uid="{00000000-0005-0000-0000-00009D080000}"/>
    <cellStyle name="Bad 5" xfId="2309" xr:uid="{00000000-0005-0000-0000-00009E080000}"/>
    <cellStyle name="Bad 5 2" xfId="2310" xr:uid="{00000000-0005-0000-0000-00009F080000}"/>
    <cellStyle name="Bad 6" xfId="2311" xr:uid="{00000000-0005-0000-0000-0000A0080000}"/>
    <cellStyle name="Bad 6 2" xfId="2312" xr:uid="{00000000-0005-0000-0000-0000A1080000}"/>
    <cellStyle name="Bad 7" xfId="2313" xr:uid="{00000000-0005-0000-0000-0000A2080000}"/>
    <cellStyle name="Bad 7 2" xfId="2314" xr:uid="{00000000-0005-0000-0000-0000A3080000}"/>
    <cellStyle name="Bad 8" xfId="2315" xr:uid="{00000000-0005-0000-0000-0000A4080000}"/>
    <cellStyle name="Bad 8 2" xfId="2316" xr:uid="{00000000-0005-0000-0000-0000A5080000}"/>
    <cellStyle name="Bad 9" xfId="2317" xr:uid="{00000000-0005-0000-0000-0000A6080000}"/>
    <cellStyle name="Bad 9 2" xfId="2318" xr:uid="{00000000-0005-0000-0000-0000A7080000}"/>
    <cellStyle name="Calculation 10" xfId="2319" xr:uid="{00000000-0005-0000-0000-0000A8080000}"/>
    <cellStyle name="Calculation 10 2" xfId="2320" xr:uid="{00000000-0005-0000-0000-0000A9080000}"/>
    <cellStyle name="Calculation 10_ST_MAHUD" xfId="2321" xr:uid="{00000000-0005-0000-0000-0000AA080000}"/>
    <cellStyle name="Calculation 11" xfId="2322" xr:uid="{00000000-0005-0000-0000-0000AB080000}"/>
    <cellStyle name="Calculation 11 2" xfId="2323" xr:uid="{00000000-0005-0000-0000-0000AC080000}"/>
    <cellStyle name="Calculation 11_ST_MAHUD" xfId="2324" xr:uid="{00000000-0005-0000-0000-0000AD080000}"/>
    <cellStyle name="Calculation 12" xfId="2325" xr:uid="{00000000-0005-0000-0000-0000AE080000}"/>
    <cellStyle name="Calculation 12 2" xfId="2326" xr:uid="{00000000-0005-0000-0000-0000AF080000}"/>
    <cellStyle name="Calculation 12_ST_MAHUD" xfId="2327" xr:uid="{00000000-0005-0000-0000-0000B0080000}"/>
    <cellStyle name="Calculation 13" xfId="2328" xr:uid="{00000000-0005-0000-0000-0000B1080000}"/>
    <cellStyle name="Calculation 13 2" xfId="2329" xr:uid="{00000000-0005-0000-0000-0000B2080000}"/>
    <cellStyle name="Calculation 13_ST_MAHUD" xfId="2330" xr:uid="{00000000-0005-0000-0000-0000B3080000}"/>
    <cellStyle name="Calculation 14" xfId="2331" xr:uid="{00000000-0005-0000-0000-0000B4080000}"/>
    <cellStyle name="Calculation 14 2" xfId="2332" xr:uid="{00000000-0005-0000-0000-0000B5080000}"/>
    <cellStyle name="Calculation 14_ST_MAHUD" xfId="2333" xr:uid="{00000000-0005-0000-0000-0000B6080000}"/>
    <cellStyle name="Calculation 15" xfId="2334" xr:uid="{00000000-0005-0000-0000-0000B7080000}"/>
    <cellStyle name="Calculation 15 2" xfId="2335" xr:uid="{00000000-0005-0000-0000-0000B8080000}"/>
    <cellStyle name="Calculation 15_ST_MAHUD" xfId="2336" xr:uid="{00000000-0005-0000-0000-0000B9080000}"/>
    <cellStyle name="Calculation 16" xfId="2337" xr:uid="{00000000-0005-0000-0000-0000BA080000}"/>
    <cellStyle name="Calculation 16 2" xfId="2338" xr:uid="{00000000-0005-0000-0000-0000BB080000}"/>
    <cellStyle name="Calculation 16_ST_MAHUD" xfId="2339" xr:uid="{00000000-0005-0000-0000-0000BC080000}"/>
    <cellStyle name="Calculation 17" xfId="2340" xr:uid="{00000000-0005-0000-0000-0000BD080000}"/>
    <cellStyle name="Calculation 17 2" xfId="2341" xr:uid="{00000000-0005-0000-0000-0000BE080000}"/>
    <cellStyle name="Calculation 17_ST_MAHUD" xfId="2342" xr:uid="{00000000-0005-0000-0000-0000BF080000}"/>
    <cellStyle name="Calculation 18" xfId="2343" xr:uid="{00000000-0005-0000-0000-0000C0080000}"/>
    <cellStyle name="Calculation 18 2" xfId="2344" xr:uid="{00000000-0005-0000-0000-0000C1080000}"/>
    <cellStyle name="Calculation 18_ST_MAHUD" xfId="2345" xr:uid="{00000000-0005-0000-0000-0000C2080000}"/>
    <cellStyle name="Calculation 19" xfId="2346" xr:uid="{00000000-0005-0000-0000-0000C3080000}"/>
    <cellStyle name="Calculation 2" xfId="2347" xr:uid="{00000000-0005-0000-0000-0000C4080000}"/>
    <cellStyle name="Calculation 2 2" xfId="2348" xr:uid="{00000000-0005-0000-0000-0000C5080000}"/>
    <cellStyle name="Calculation 2 3" xfId="2349" xr:uid="{00000000-0005-0000-0000-0000C6080000}"/>
    <cellStyle name="Calculation 2_ST_MAHUD" xfId="2350" xr:uid="{00000000-0005-0000-0000-0000C7080000}"/>
    <cellStyle name="Calculation 20" xfId="2351" xr:uid="{00000000-0005-0000-0000-0000C8080000}"/>
    <cellStyle name="Calculation 21" xfId="2352" xr:uid="{00000000-0005-0000-0000-0000C9080000}"/>
    <cellStyle name="Calculation 22" xfId="2353" xr:uid="{00000000-0005-0000-0000-0000CA080000}"/>
    <cellStyle name="Calculation 23" xfId="2354" xr:uid="{00000000-0005-0000-0000-0000CB080000}"/>
    <cellStyle name="Calculation 24" xfId="2355" xr:uid="{00000000-0005-0000-0000-0000CC080000}"/>
    <cellStyle name="Calculation 25" xfId="2356" xr:uid="{00000000-0005-0000-0000-0000CD080000}"/>
    <cellStyle name="Calculation 26" xfId="2357" xr:uid="{00000000-0005-0000-0000-0000CE080000}"/>
    <cellStyle name="Calculation 27" xfId="2358" xr:uid="{00000000-0005-0000-0000-0000CF080000}"/>
    <cellStyle name="Calculation 28" xfId="2359" xr:uid="{00000000-0005-0000-0000-0000D0080000}"/>
    <cellStyle name="Calculation 29" xfId="2360" xr:uid="{00000000-0005-0000-0000-0000D1080000}"/>
    <cellStyle name="Calculation 3" xfId="2361" xr:uid="{00000000-0005-0000-0000-0000D2080000}"/>
    <cellStyle name="Calculation 3 2" xfId="2362" xr:uid="{00000000-0005-0000-0000-0000D3080000}"/>
    <cellStyle name="Calculation 3_ST_MAHUD" xfId="2363" xr:uid="{00000000-0005-0000-0000-0000D4080000}"/>
    <cellStyle name="Calculation 30" xfId="2364" xr:uid="{00000000-0005-0000-0000-0000D5080000}"/>
    <cellStyle name="Calculation 31" xfId="2365" xr:uid="{00000000-0005-0000-0000-0000D6080000}"/>
    <cellStyle name="Calculation 32" xfId="2366" xr:uid="{00000000-0005-0000-0000-0000D7080000}"/>
    <cellStyle name="Calculation 33" xfId="2367" xr:uid="{00000000-0005-0000-0000-0000D8080000}"/>
    <cellStyle name="Calculation 34" xfId="2368" xr:uid="{00000000-0005-0000-0000-0000D9080000}"/>
    <cellStyle name="Calculation 35" xfId="2369" xr:uid="{00000000-0005-0000-0000-0000DA080000}"/>
    <cellStyle name="Calculation 36" xfId="2370" xr:uid="{00000000-0005-0000-0000-0000DB080000}"/>
    <cellStyle name="Calculation 37" xfId="2371" xr:uid="{00000000-0005-0000-0000-0000DC080000}"/>
    <cellStyle name="Calculation 38" xfId="2372" xr:uid="{00000000-0005-0000-0000-0000DD080000}"/>
    <cellStyle name="Calculation 39" xfId="2373" xr:uid="{00000000-0005-0000-0000-0000DE080000}"/>
    <cellStyle name="Calculation 4" xfId="2374" xr:uid="{00000000-0005-0000-0000-0000DF080000}"/>
    <cellStyle name="Calculation 4 2" xfId="2375" xr:uid="{00000000-0005-0000-0000-0000E0080000}"/>
    <cellStyle name="Calculation 4_ST_MAHUD" xfId="2376" xr:uid="{00000000-0005-0000-0000-0000E1080000}"/>
    <cellStyle name="Calculation 40" xfId="2377" xr:uid="{00000000-0005-0000-0000-0000E2080000}"/>
    <cellStyle name="Calculation 41" xfId="2378" xr:uid="{00000000-0005-0000-0000-0000E3080000}"/>
    <cellStyle name="Calculation 42" xfId="2379" xr:uid="{00000000-0005-0000-0000-0000E4080000}"/>
    <cellStyle name="Calculation 43" xfId="2380" xr:uid="{00000000-0005-0000-0000-0000E5080000}"/>
    <cellStyle name="Calculation 44" xfId="2381" xr:uid="{00000000-0005-0000-0000-0000E6080000}"/>
    <cellStyle name="Calculation 45" xfId="2382" xr:uid="{00000000-0005-0000-0000-0000E7080000}"/>
    <cellStyle name="Calculation 46" xfId="2383" xr:uid="{00000000-0005-0000-0000-0000E8080000}"/>
    <cellStyle name="Calculation 47" xfId="2384" xr:uid="{00000000-0005-0000-0000-0000E9080000}"/>
    <cellStyle name="Calculation 48" xfId="2385" xr:uid="{00000000-0005-0000-0000-0000EA080000}"/>
    <cellStyle name="Calculation 49" xfId="2386" xr:uid="{00000000-0005-0000-0000-0000EB080000}"/>
    <cellStyle name="Calculation 5" xfId="2387" xr:uid="{00000000-0005-0000-0000-0000EC080000}"/>
    <cellStyle name="Calculation 5 2" xfId="2388" xr:uid="{00000000-0005-0000-0000-0000ED080000}"/>
    <cellStyle name="Calculation 5_ST_MAHUD" xfId="2389" xr:uid="{00000000-0005-0000-0000-0000EE080000}"/>
    <cellStyle name="Calculation 50" xfId="2390" xr:uid="{00000000-0005-0000-0000-0000EF080000}"/>
    <cellStyle name="Calculation 51" xfId="2391" xr:uid="{00000000-0005-0000-0000-0000F0080000}"/>
    <cellStyle name="Calculation 52" xfId="2392" xr:uid="{00000000-0005-0000-0000-0000F1080000}"/>
    <cellStyle name="Calculation 53" xfId="2393" xr:uid="{00000000-0005-0000-0000-0000F2080000}"/>
    <cellStyle name="Calculation 54" xfId="2394" xr:uid="{00000000-0005-0000-0000-0000F3080000}"/>
    <cellStyle name="Calculation 55" xfId="2395" xr:uid="{00000000-0005-0000-0000-0000F4080000}"/>
    <cellStyle name="Calculation 56" xfId="2396" xr:uid="{00000000-0005-0000-0000-0000F5080000}"/>
    <cellStyle name="Calculation 57" xfId="2397" xr:uid="{00000000-0005-0000-0000-0000F6080000}"/>
    <cellStyle name="Calculation 58" xfId="2398" xr:uid="{00000000-0005-0000-0000-0000F7080000}"/>
    <cellStyle name="Calculation 59" xfId="2399" xr:uid="{00000000-0005-0000-0000-0000F8080000}"/>
    <cellStyle name="Calculation 6" xfId="2400" xr:uid="{00000000-0005-0000-0000-0000F9080000}"/>
    <cellStyle name="Calculation 6 2" xfId="2401" xr:uid="{00000000-0005-0000-0000-0000FA080000}"/>
    <cellStyle name="Calculation 6_ST_MAHUD" xfId="2402" xr:uid="{00000000-0005-0000-0000-0000FB080000}"/>
    <cellStyle name="Calculation 60" xfId="2403" xr:uid="{00000000-0005-0000-0000-0000FC080000}"/>
    <cellStyle name="Calculation 61" xfId="2404" xr:uid="{00000000-0005-0000-0000-0000FD080000}"/>
    <cellStyle name="Calculation 62" xfId="2405" xr:uid="{00000000-0005-0000-0000-0000FE080000}"/>
    <cellStyle name="Calculation 63" xfId="2406" xr:uid="{00000000-0005-0000-0000-0000FF080000}"/>
    <cellStyle name="Calculation 64" xfId="2407" xr:uid="{00000000-0005-0000-0000-000000090000}"/>
    <cellStyle name="Calculation 65" xfId="2408" xr:uid="{00000000-0005-0000-0000-000001090000}"/>
    <cellStyle name="Calculation 66" xfId="2409" xr:uid="{00000000-0005-0000-0000-000002090000}"/>
    <cellStyle name="Calculation 67" xfId="2410" xr:uid="{00000000-0005-0000-0000-000003090000}"/>
    <cellStyle name="Calculation 68" xfId="2411" xr:uid="{00000000-0005-0000-0000-000004090000}"/>
    <cellStyle name="Calculation 69" xfId="2412" xr:uid="{00000000-0005-0000-0000-000005090000}"/>
    <cellStyle name="Calculation 7" xfId="2413" xr:uid="{00000000-0005-0000-0000-000006090000}"/>
    <cellStyle name="Calculation 7 2" xfId="2414" xr:uid="{00000000-0005-0000-0000-000007090000}"/>
    <cellStyle name="Calculation 7_ST_MAHUD" xfId="2415" xr:uid="{00000000-0005-0000-0000-000008090000}"/>
    <cellStyle name="Calculation 70" xfId="2416" xr:uid="{00000000-0005-0000-0000-000009090000}"/>
    <cellStyle name="Calculation 71" xfId="2417" xr:uid="{00000000-0005-0000-0000-00000A090000}"/>
    <cellStyle name="Calculation 72" xfId="2418" xr:uid="{00000000-0005-0000-0000-00000B090000}"/>
    <cellStyle name="Calculation 8" xfId="2419" xr:uid="{00000000-0005-0000-0000-00000C090000}"/>
    <cellStyle name="Calculation 8 2" xfId="2420" xr:uid="{00000000-0005-0000-0000-00000D090000}"/>
    <cellStyle name="Calculation 8_ST_MAHUD" xfId="2421" xr:uid="{00000000-0005-0000-0000-00000E090000}"/>
    <cellStyle name="Calculation 9" xfId="2422" xr:uid="{00000000-0005-0000-0000-00000F090000}"/>
    <cellStyle name="Calculation 9 2" xfId="2423" xr:uid="{00000000-0005-0000-0000-000010090000}"/>
    <cellStyle name="Calculation 9_ST_MAHUD" xfId="2424" xr:uid="{00000000-0005-0000-0000-000011090000}"/>
    <cellStyle name="Check Cell 10" xfId="2425" xr:uid="{00000000-0005-0000-0000-000013090000}"/>
    <cellStyle name="Check Cell 10 2" xfId="2426" xr:uid="{00000000-0005-0000-0000-000014090000}"/>
    <cellStyle name="Check Cell 10_ST_MAHUD" xfId="2427" xr:uid="{00000000-0005-0000-0000-000015090000}"/>
    <cellStyle name="Check Cell 11" xfId="2428" xr:uid="{00000000-0005-0000-0000-000016090000}"/>
    <cellStyle name="Check Cell 11 2" xfId="2429" xr:uid="{00000000-0005-0000-0000-000017090000}"/>
    <cellStyle name="Check Cell 11_ST_MAHUD" xfId="2430" xr:uid="{00000000-0005-0000-0000-000018090000}"/>
    <cellStyle name="Check Cell 12" xfId="2431" xr:uid="{00000000-0005-0000-0000-000019090000}"/>
    <cellStyle name="Check Cell 12 2" xfId="2432" xr:uid="{00000000-0005-0000-0000-00001A090000}"/>
    <cellStyle name="Check Cell 12_ST_MAHUD" xfId="2433" xr:uid="{00000000-0005-0000-0000-00001B090000}"/>
    <cellStyle name="Check Cell 13" xfId="2434" xr:uid="{00000000-0005-0000-0000-00001C090000}"/>
    <cellStyle name="Check Cell 13 2" xfId="2435" xr:uid="{00000000-0005-0000-0000-00001D090000}"/>
    <cellStyle name="Check Cell 13_ST_MAHUD" xfId="2436" xr:uid="{00000000-0005-0000-0000-00001E090000}"/>
    <cellStyle name="Check Cell 14" xfId="2437" xr:uid="{00000000-0005-0000-0000-00001F090000}"/>
    <cellStyle name="Check Cell 14 2" xfId="2438" xr:uid="{00000000-0005-0000-0000-000020090000}"/>
    <cellStyle name="Check Cell 14_ST_MAHUD" xfId="2439" xr:uid="{00000000-0005-0000-0000-000021090000}"/>
    <cellStyle name="Check Cell 15" xfId="2440" xr:uid="{00000000-0005-0000-0000-000022090000}"/>
    <cellStyle name="Check Cell 15 2" xfId="2441" xr:uid="{00000000-0005-0000-0000-000023090000}"/>
    <cellStyle name="Check Cell 15_ST_MAHUD" xfId="2442" xr:uid="{00000000-0005-0000-0000-000024090000}"/>
    <cellStyle name="Check Cell 16" xfId="2443" xr:uid="{00000000-0005-0000-0000-000025090000}"/>
    <cellStyle name="Check Cell 16 2" xfId="2444" xr:uid="{00000000-0005-0000-0000-000026090000}"/>
    <cellStyle name="Check Cell 16_ST_MAHUD" xfId="2445" xr:uid="{00000000-0005-0000-0000-000027090000}"/>
    <cellStyle name="Check Cell 17" xfId="2446" xr:uid="{00000000-0005-0000-0000-000028090000}"/>
    <cellStyle name="Check Cell 17 2" xfId="2447" xr:uid="{00000000-0005-0000-0000-000029090000}"/>
    <cellStyle name="Check Cell 17_ST_MAHUD" xfId="2448" xr:uid="{00000000-0005-0000-0000-00002A090000}"/>
    <cellStyle name="Check Cell 18" xfId="2449" xr:uid="{00000000-0005-0000-0000-00002B090000}"/>
    <cellStyle name="Check Cell 18 2" xfId="2450" xr:uid="{00000000-0005-0000-0000-00002C090000}"/>
    <cellStyle name="Check Cell 18_ST_MAHUD" xfId="2451" xr:uid="{00000000-0005-0000-0000-00002D090000}"/>
    <cellStyle name="Check Cell 19" xfId="2452" xr:uid="{00000000-0005-0000-0000-00002E090000}"/>
    <cellStyle name="Check Cell 2" xfId="2453" xr:uid="{00000000-0005-0000-0000-00002F090000}"/>
    <cellStyle name="Check Cell 2 2" xfId="2454" xr:uid="{00000000-0005-0000-0000-000030090000}"/>
    <cellStyle name="Check Cell 2 3" xfId="2455" xr:uid="{00000000-0005-0000-0000-000031090000}"/>
    <cellStyle name="Check Cell 2_ST_MAHUD" xfId="2456" xr:uid="{00000000-0005-0000-0000-000032090000}"/>
    <cellStyle name="Check Cell 20" xfId="2457" xr:uid="{00000000-0005-0000-0000-000033090000}"/>
    <cellStyle name="Check Cell 21" xfId="2458" xr:uid="{00000000-0005-0000-0000-000034090000}"/>
    <cellStyle name="Check Cell 22" xfId="2459" xr:uid="{00000000-0005-0000-0000-000035090000}"/>
    <cellStyle name="Check Cell 23" xfId="2460" xr:uid="{00000000-0005-0000-0000-000036090000}"/>
    <cellStyle name="Check Cell 24" xfId="2461" xr:uid="{00000000-0005-0000-0000-000037090000}"/>
    <cellStyle name="Check Cell 25" xfId="2462" xr:uid="{00000000-0005-0000-0000-000038090000}"/>
    <cellStyle name="Check Cell 26" xfId="2463" xr:uid="{00000000-0005-0000-0000-000039090000}"/>
    <cellStyle name="Check Cell 27" xfId="2464" xr:uid="{00000000-0005-0000-0000-00003A090000}"/>
    <cellStyle name="Check Cell 28" xfId="2465" xr:uid="{00000000-0005-0000-0000-00003B090000}"/>
    <cellStyle name="Check Cell 29" xfId="2466" xr:uid="{00000000-0005-0000-0000-00003C090000}"/>
    <cellStyle name="Check Cell 3" xfId="2467" xr:uid="{00000000-0005-0000-0000-00003D090000}"/>
    <cellStyle name="Check Cell 3 2" xfId="2468" xr:uid="{00000000-0005-0000-0000-00003E090000}"/>
    <cellStyle name="Check Cell 3_ST_MAHUD" xfId="2469" xr:uid="{00000000-0005-0000-0000-00003F090000}"/>
    <cellStyle name="Check Cell 30" xfId="2470" xr:uid="{00000000-0005-0000-0000-000040090000}"/>
    <cellStyle name="Check Cell 31" xfId="2471" xr:uid="{00000000-0005-0000-0000-000041090000}"/>
    <cellStyle name="Check Cell 32" xfId="2472" xr:uid="{00000000-0005-0000-0000-000042090000}"/>
    <cellStyle name="Check Cell 33" xfId="2473" xr:uid="{00000000-0005-0000-0000-000043090000}"/>
    <cellStyle name="Check Cell 34" xfId="2474" xr:uid="{00000000-0005-0000-0000-000044090000}"/>
    <cellStyle name="Check Cell 35" xfId="2475" xr:uid="{00000000-0005-0000-0000-000045090000}"/>
    <cellStyle name="Check Cell 36" xfId="2476" xr:uid="{00000000-0005-0000-0000-000046090000}"/>
    <cellStyle name="Check Cell 37" xfId="2477" xr:uid="{00000000-0005-0000-0000-000047090000}"/>
    <cellStyle name="Check Cell 38" xfId="2478" xr:uid="{00000000-0005-0000-0000-000048090000}"/>
    <cellStyle name="Check Cell 39" xfId="2479" xr:uid="{00000000-0005-0000-0000-000049090000}"/>
    <cellStyle name="Check Cell 4" xfId="2480" xr:uid="{00000000-0005-0000-0000-00004A090000}"/>
    <cellStyle name="Check Cell 4 2" xfId="2481" xr:uid="{00000000-0005-0000-0000-00004B090000}"/>
    <cellStyle name="Check Cell 4_ST_MAHUD" xfId="2482" xr:uid="{00000000-0005-0000-0000-00004C090000}"/>
    <cellStyle name="Check Cell 40" xfId="2483" xr:uid="{00000000-0005-0000-0000-00004D090000}"/>
    <cellStyle name="Check Cell 41" xfId="2484" xr:uid="{00000000-0005-0000-0000-00004E090000}"/>
    <cellStyle name="Check Cell 42" xfId="2485" xr:uid="{00000000-0005-0000-0000-00004F090000}"/>
    <cellStyle name="Check Cell 43" xfId="2486" xr:uid="{00000000-0005-0000-0000-000050090000}"/>
    <cellStyle name="Check Cell 44" xfId="2487" xr:uid="{00000000-0005-0000-0000-000051090000}"/>
    <cellStyle name="Check Cell 45" xfId="2488" xr:uid="{00000000-0005-0000-0000-000052090000}"/>
    <cellStyle name="Check Cell 46" xfId="2489" xr:uid="{00000000-0005-0000-0000-000053090000}"/>
    <cellStyle name="Check Cell 47" xfId="2490" xr:uid="{00000000-0005-0000-0000-000054090000}"/>
    <cellStyle name="Check Cell 48" xfId="2491" xr:uid="{00000000-0005-0000-0000-000055090000}"/>
    <cellStyle name="Check Cell 49" xfId="2492" xr:uid="{00000000-0005-0000-0000-000056090000}"/>
    <cellStyle name="Check Cell 5" xfId="2493" xr:uid="{00000000-0005-0000-0000-000057090000}"/>
    <cellStyle name="Check Cell 5 2" xfId="2494" xr:uid="{00000000-0005-0000-0000-000058090000}"/>
    <cellStyle name="Check Cell 5_ST_MAHUD" xfId="2495" xr:uid="{00000000-0005-0000-0000-000059090000}"/>
    <cellStyle name="Check Cell 50" xfId="2496" xr:uid="{00000000-0005-0000-0000-00005A090000}"/>
    <cellStyle name="Check Cell 51" xfId="2497" xr:uid="{00000000-0005-0000-0000-00005B090000}"/>
    <cellStyle name="Check Cell 52" xfId="2498" xr:uid="{00000000-0005-0000-0000-00005C090000}"/>
    <cellStyle name="Check Cell 53" xfId="2499" xr:uid="{00000000-0005-0000-0000-00005D090000}"/>
    <cellStyle name="Check Cell 54" xfId="2500" xr:uid="{00000000-0005-0000-0000-00005E090000}"/>
    <cellStyle name="Check Cell 55" xfId="2501" xr:uid="{00000000-0005-0000-0000-00005F090000}"/>
    <cellStyle name="Check Cell 56" xfId="2502" xr:uid="{00000000-0005-0000-0000-000060090000}"/>
    <cellStyle name="Check Cell 57" xfId="2503" xr:uid="{00000000-0005-0000-0000-000061090000}"/>
    <cellStyle name="Check Cell 58" xfId="2504" xr:uid="{00000000-0005-0000-0000-000062090000}"/>
    <cellStyle name="Check Cell 59" xfId="2505" xr:uid="{00000000-0005-0000-0000-000063090000}"/>
    <cellStyle name="Check Cell 6" xfId="2506" xr:uid="{00000000-0005-0000-0000-000064090000}"/>
    <cellStyle name="Check Cell 6 2" xfId="2507" xr:uid="{00000000-0005-0000-0000-000065090000}"/>
    <cellStyle name="Check Cell 6_ST_MAHUD" xfId="2508" xr:uid="{00000000-0005-0000-0000-000066090000}"/>
    <cellStyle name="Check Cell 60" xfId="2509" xr:uid="{00000000-0005-0000-0000-000067090000}"/>
    <cellStyle name="Check Cell 61" xfId="2510" xr:uid="{00000000-0005-0000-0000-000068090000}"/>
    <cellStyle name="Check Cell 62" xfId="2511" xr:uid="{00000000-0005-0000-0000-000069090000}"/>
    <cellStyle name="Check Cell 63" xfId="2512" xr:uid="{00000000-0005-0000-0000-00006A090000}"/>
    <cellStyle name="Check Cell 64" xfId="2513" xr:uid="{00000000-0005-0000-0000-00006B090000}"/>
    <cellStyle name="Check Cell 65" xfId="2514" xr:uid="{00000000-0005-0000-0000-00006C090000}"/>
    <cellStyle name="Check Cell 66" xfId="2515" xr:uid="{00000000-0005-0000-0000-00006D090000}"/>
    <cellStyle name="Check Cell 67" xfId="2516" xr:uid="{00000000-0005-0000-0000-00006E090000}"/>
    <cellStyle name="Check Cell 68" xfId="2517" xr:uid="{00000000-0005-0000-0000-00006F090000}"/>
    <cellStyle name="Check Cell 69" xfId="2518" xr:uid="{00000000-0005-0000-0000-000070090000}"/>
    <cellStyle name="Check Cell 7" xfId="2519" xr:uid="{00000000-0005-0000-0000-000071090000}"/>
    <cellStyle name="Check Cell 7 2" xfId="2520" xr:uid="{00000000-0005-0000-0000-000072090000}"/>
    <cellStyle name="Check Cell 7_ST_MAHUD" xfId="2521" xr:uid="{00000000-0005-0000-0000-000073090000}"/>
    <cellStyle name="Check Cell 70" xfId="2522" xr:uid="{00000000-0005-0000-0000-000074090000}"/>
    <cellStyle name="Check Cell 71" xfId="2523" xr:uid="{00000000-0005-0000-0000-000075090000}"/>
    <cellStyle name="Check Cell 8" xfId="2524" xr:uid="{00000000-0005-0000-0000-000076090000}"/>
    <cellStyle name="Check Cell 8 2" xfId="2525" xr:uid="{00000000-0005-0000-0000-000077090000}"/>
    <cellStyle name="Check Cell 8_ST_MAHUD" xfId="2526" xr:uid="{00000000-0005-0000-0000-000078090000}"/>
    <cellStyle name="Check Cell 9" xfId="2527" xr:uid="{00000000-0005-0000-0000-000079090000}"/>
    <cellStyle name="Check Cell 9 2" xfId="2528" xr:uid="{00000000-0005-0000-0000-00007A090000}"/>
    <cellStyle name="Check Cell 9_ST_MAHUD" xfId="2529" xr:uid="{00000000-0005-0000-0000-00007B090000}"/>
    <cellStyle name="Comma 2" xfId="2530" xr:uid="{00000000-0005-0000-0000-00007D090000}"/>
    <cellStyle name="Comma 2 2" xfId="2531" xr:uid="{00000000-0005-0000-0000-00007E090000}"/>
    <cellStyle name="Comma 2 3" xfId="3892" xr:uid="{66D03054-7153-4532-936E-294F28C67D91}"/>
    <cellStyle name="Currency 10" xfId="2532" xr:uid="{00000000-0005-0000-0000-00007F090000}"/>
    <cellStyle name="Currency 10 2" xfId="2533" xr:uid="{00000000-0005-0000-0000-000080090000}"/>
    <cellStyle name="Currency 10 2 2" xfId="2534" xr:uid="{00000000-0005-0000-0000-000081090000}"/>
    <cellStyle name="Currency 10 3" xfId="2535" xr:uid="{00000000-0005-0000-0000-000082090000}"/>
    <cellStyle name="Currency 11" xfId="2536" xr:uid="{00000000-0005-0000-0000-000083090000}"/>
    <cellStyle name="Currency 11 2" xfId="2537" xr:uid="{00000000-0005-0000-0000-000084090000}"/>
    <cellStyle name="Currency 11 2 2" xfId="2538" xr:uid="{00000000-0005-0000-0000-000085090000}"/>
    <cellStyle name="Currency 11 3" xfId="2539" xr:uid="{00000000-0005-0000-0000-000086090000}"/>
    <cellStyle name="Currency 12" xfId="2540" xr:uid="{00000000-0005-0000-0000-000087090000}"/>
    <cellStyle name="Currency 12 2" xfId="2541" xr:uid="{00000000-0005-0000-0000-000088090000}"/>
    <cellStyle name="Currency 12 2 2" xfId="2542" xr:uid="{00000000-0005-0000-0000-000089090000}"/>
    <cellStyle name="Currency 12 3" xfId="2543" xr:uid="{00000000-0005-0000-0000-00008A090000}"/>
    <cellStyle name="Currency 13" xfId="2544" xr:uid="{00000000-0005-0000-0000-00008B090000}"/>
    <cellStyle name="Currency 13 2" xfId="2545" xr:uid="{00000000-0005-0000-0000-00008C090000}"/>
    <cellStyle name="Currency 13 2 2" xfId="2546" xr:uid="{00000000-0005-0000-0000-00008D090000}"/>
    <cellStyle name="Currency 13 3" xfId="2547" xr:uid="{00000000-0005-0000-0000-00008E090000}"/>
    <cellStyle name="Currency 14" xfId="2548" xr:uid="{00000000-0005-0000-0000-00008F090000}"/>
    <cellStyle name="Currency 14 2" xfId="2549" xr:uid="{00000000-0005-0000-0000-000090090000}"/>
    <cellStyle name="Currency 14 2 2" xfId="2550" xr:uid="{00000000-0005-0000-0000-000091090000}"/>
    <cellStyle name="Currency 14 3" xfId="2551" xr:uid="{00000000-0005-0000-0000-000092090000}"/>
    <cellStyle name="Currency 15" xfId="2552" xr:uid="{00000000-0005-0000-0000-000093090000}"/>
    <cellStyle name="Currency 15 2" xfId="2553" xr:uid="{00000000-0005-0000-0000-000094090000}"/>
    <cellStyle name="Currency 15 2 2" xfId="2554" xr:uid="{00000000-0005-0000-0000-000095090000}"/>
    <cellStyle name="Currency 15 3" xfId="2555" xr:uid="{00000000-0005-0000-0000-000096090000}"/>
    <cellStyle name="Currency 16" xfId="2556" xr:uid="{00000000-0005-0000-0000-000097090000}"/>
    <cellStyle name="Currency 16 2" xfId="2557" xr:uid="{00000000-0005-0000-0000-000098090000}"/>
    <cellStyle name="Currency 16 2 2" xfId="2558" xr:uid="{00000000-0005-0000-0000-000099090000}"/>
    <cellStyle name="Currency 16 3" xfId="2559" xr:uid="{00000000-0005-0000-0000-00009A090000}"/>
    <cellStyle name="Currency 2" xfId="2560" xr:uid="{00000000-0005-0000-0000-00009B090000}"/>
    <cellStyle name="Currency 2 2" xfId="2561" xr:uid="{00000000-0005-0000-0000-00009C090000}"/>
    <cellStyle name="Currency 2 2 2" xfId="2562" xr:uid="{00000000-0005-0000-0000-00009D090000}"/>
    <cellStyle name="Currency 2 3" xfId="2563" xr:uid="{00000000-0005-0000-0000-00009E090000}"/>
    <cellStyle name="Currency 3" xfId="2564" xr:uid="{00000000-0005-0000-0000-00009F090000}"/>
    <cellStyle name="Currency 3 2" xfId="2565" xr:uid="{00000000-0005-0000-0000-0000A0090000}"/>
    <cellStyle name="Currency 3 2 2" xfId="2566" xr:uid="{00000000-0005-0000-0000-0000A1090000}"/>
    <cellStyle name="Currency 3 3" xfId="2567" xr:uid="{00000000-0005-0000-0000-0000A2090000}"/>
    <cellStyle name="Currency 4" xfId="2568" xr:uid="{00000000-0005-0000-0000-0000A3090000}"/>
    <cellStyle name="Currency 4 2" xfId="2569" xr:uid="{00000000-0005-0000-0000-0000A4090000}"/>
    <cellStyle name="Currency 4 2 2" xfId="2570" xr:uid="{00000000-0005-0000-0000-0000A5090000}"/>
    <cellStyle name="Currency 4 3" xfId="2571" xr:uid="{00000000-0005-0000-0000-0000A6090000}"/>
    <cellStyle name="Currency 5" xfId="2572" xr:uid="{00000000-0005-0000-0000-0000A7090000}"/>
    <cellStyle name="Currency 5 2" xfId="2573" xr:uid="{00000000-0005-0000-0000-0000A8090000}"/>
    <cellStyle name="Currency 5 2 2" xfId="2574" xr:uid="{00000000-0005-0000-0000-0000A9090000}"/>
    <cellStyle name="Currency 5 3" xfId="2575" xr:uid="{00000000-0005-0000-0000-0000AA090000}"/>
    <cellStyle name="Currency 6" xfId="2576" xr:uid="{00000000-0005-0000-0000-0000AB090000}"/>
    <cellStyle name="Currency 6 2" xfId="2577" xr:uid="{00000000-0005-0000-0000-0000AC090000}"/>
    <cellStyle name="Currency 6 2 2" xfId="2578" xr:uid="{00000000-0005-0000-0000-0000AD090000}"/>
    <cellStyle name="Currency 6 3" xfId="2579" xr:uid="{00000000-0005-0000-0000-0000AE090000}"/>
    <cellStyle name="Currency 7" xfId="2580" xr:uid="{00000000-0005-0000-0000-0000AF090000}"/>
    <cellStyle name="Currency 7 2" xfId="2581" xr:uid="{00000000-0005-0000-0000-0000B0090000}"/>
    <cellStyle name="Currency 7 2 2" xfId="2582" xr:uid="{00000000-0005-0000-0000-0000B1090000}"/>
    <cellStyle name="Currency 7 3" xfId="2583" xr:uid="{00000000-0005-0000-0000-0000B2090000}"/>
    <cellStyle name="Currency 8" xfId="2584" xr:uid="{00000000-0005-0000-0000-0000B3090000}"/>
    <cellStyle name="Currency 8 2" xfId="2585" xr:uid="{00000000-0005-0000-0000-0000B4090000}"/>
    <cellStyle name="Currency 8 2 2" xfId="2586" xr:uid="{00000000-0005-0000-0000-0000B5090000}"/>
    <cellStyle name="Currency 8 3" xfId="2587" xr:uid="{00000000-0005-0000-0000-0000B6090000}"/>
    <cellStyle name="Currency 9" xfId="2588" xr:uid="{00000000-0005-0000-0000-0000B7090000}"/>
    <cellStyle name="Currency 9 2" xfId="2589" xr:uid="{00000000-0005-0000-0000-0000B8090000}"/>
    <cellStyle name="Currency 9 2 2" xfId="2590" xr:uid="{00000000-0005-0000-0000-0000B9090000}"/>
    <cellStyle name="Currency 9 3" xfId="2591" xr:uid="{00000000-0005-0000-0000-0000BA090000}"/>
    <cellStyle name="Excel Built-in Comma [0]" xfId="2592" xr:uid="{00000000-0005-0000-0000-0000BB090000}"/>
    <cellStyle name="Excel Built-in Normal" xfId="2593" xr:uid="{00000000-0005-0000-0000-0000BC090000}"/>
    <cellStyle name="Explanatory Text 10" xfId="2594" xr:uid="{00000000-0005-0000-0000-0000BE090000}"/>
    <cellStyle name="Explanatory Text 10 2" xfId="2595" xr:uid="{00000000-0005-0000-0000-0000BF090000}"/>
    <cellStyle name="Explanatory Text 11" xfId="2596" xr:uid="{00000000-0005-0000-0000-0000C0090000}"/>
    <cellStyle name="Explanatory Text 11 2" xfId="2597" xr:uid="{00000000-0005-0000-0000-0000C1090000}"/>
    <cellStyle name="Explanatory Text 12" xfId="2598" xr:uid="{00000000-0005-0000-0000-0000C2090000}"/>
    <cellStyle name="Explanatory Text 12 2" xfId="2599" xr:uid="{00000000-0005-0000-0000-0000C3090000}"/>
    <cellStyle name="Explanatory Text 13" xfId="2600" xr:uid="{00000000-0005-0000-0000-0000C4090000}"/>
    <cellStyle name="Explanatory Text 13 2" xfId="2601" xr:uid="{00000000-0005-0000-0000-0000C5090000}"/>
    <cellStyle name="Explanatory Text 14" xfId="2602" xr:uid="{00000000-0005-0000-0000-0000C6090000}"/>
    <cellStyle name="Explanatory Text 14 2" xfId="2603" xr:uid="{00000000-0005-0000-0000-0000C7090000}"/>
    <cellStyle name="Explanatory Text 15" xfId="2604" xr:uid="{00000000-0005-0000-0000-0000C8090000}"/>
    <cellStyle name="Explanatory Text 15 2" xfId="2605" xr:uid="{00000000-0005-0000-0000-0000C9090000}"/>
    <cellStyle name="Explanatory Text 16" xfId="2606" xr:uid="{00000000-0005-0000-0000-0000CA090000}"/>
    <cellStyle name="Explanatory Text 16 2" xfId="2607" xr:uid="{00000000-0005-0000-0000-0000CB090000}"/>
    <cellStyle name="Explanatory Text 17" xfId="2608" xr:uid="{00000000-0005-0000-0000-0000CC090000}"/>
    <cellStyle name="Explanatory Text 17 2" xfId="2609" xr:uid="{00000000-0005-0000-0000-0000CD090000}"/>
    <cellStyle name="Explanatory Text 18" xfId="2610" xr:uid="{00000000-0005-0000-0000-0000CE090000}"/>
    <cellStyle name="Explanatory Text 18 2" xfId="2611" xr:uid="{00000000-0005-0000-0000-0000CF090000}"/>
    <cellStyle name="Explanatory Text 2" xfId="2612" xr:uid="{00000000-0005-0000-0000-0000D0090000}"/>
    <cellStyle name="Explanatory Text 2 2" xfId="2613" xr:uid="{00000000-0005-0000-0000-0000D1090000}"/>
    <cellStyle name="Explanatory Text 2 3" xfId="2614" xr:uid="{00000000-0005-0000-0000-0000D2090000}"/>
    <cellStyle name="Explanatory Text 3" xfId="2615" xr:uid="{00000000-0005-0000-0000-0000D3090000}"/>
    <cellStyle name="Explanatory Text 3 2" xfId="2616" xr:uid="{00000000-0005-0000-0000-0000D4090000}"/>
    <cellStyle name="Explanatory Text 4" xfId="2617" xr:uid="{00000000-0005-0000-0000-0000D5090000}"/>
    <cellStyle name="Explanatory Text 4 2" xfId="2618" xr:uid="{00000000-0005-0000-0000-0000D6090000}"/>
    <cellStyle name="Explanatory Text 5" xfId="2619" xr:uid="{00000000-0005-0000-0000-0000D7090000}"/>
    <cellStyle name="Explanatory Text 5 2" xfId="2620" xr:uid="{00000000-0005-0000-0000-0000D8090000}"/>
    <cellStyle name="Explanatory Text 6" xfId="2621" xr:uid="{00000000-0005-0000-0000-0000D9090000}"/>
    <cellStyle name="Explanatory Text 6 2" xfId="2622" xr:uid="{00000000-0005-0000-0000-0000DA090000}"/>
    <cellStyle name="Explanatory Text 7" xfId="2623" xr:uid="{00000000-0005-0000-0000-0000DB090000}"/>
    <cellStyle name="Explanatory Text 7 2" xfId="2624" xr:uid="{00000000-0005-0000-0000-0000DC090000}"/>
    <cellStyle name="Explanatory Text 8" xfId="2625" xr:uid="{00000000-0005-0000-0000-0000DD090000}"/>
    <cellStyle name="Explanatory Text 8 2" xfId="2626" xr:uid="{00000000-0005-0000-0000-0000DE090000}"/>
    <cellStyle name="Explanatory Text 9" xfId="2627" xr:uid="{00000000-0005-0000-0000-0000DF090000}"/>
    <cellStyle name="Explanatory Text 9 2" xfId="2628" xr:uid="{00000000-0005-0000-0000-0000E0090000}"/>
    <cellStyle name="Good 10" xfId="2629" xr:uid="{00000000-0005-0000-0000-0000E2090000}"/>
    <cellStyle name="Good 10 2" xfId="2630" xr:uid="{00000000-0005-0000-0000-0000E3090000}"/>
    <cellStyle name="Good 11" xfId="2631" xr:uid="{00000000-0005-0000-0000-0000E4090000}"/>
    <cellStyle name="Good 11 2" xfId="2632" xr:uid="{00000000-0005-0000-0000-0000E5090000}"/>
    <cellStyle name="Good 12" xfId="2633" xr:uid="{00000000-0005-0000-0000-0000E6090000}"/>
    <cellStyle name="Good 12 2" xfId="2634" xr:uid="{00000000-0005-0000-0000-0000E7090000}"/>
    <cellStyle name="Good 13" xfId="2635" xr:uid="{00000000-0005-0000-0000-0000E8090000}"/>
    <cellStyle name="Good 13 2" xfId="2636" xr:uid="{00000000-0005-0000-0000-0000E9090000}"/>
    <cellStyle name="Good 14" xfId="2637" xr:uid="{00000000-0005-0000-0000-0000EA090000}"/>
    <cellStyle name="Good 14 2" xfId="2638" xr:uid="{00000000-0005-0000-0000-0000EB090000}"/>
    <cellStyle name="Good 15" xfId="2639" xr:uid="{00000000-0005-0000-0000-0000EC090000}"/>
    <cellStyle name="Good 15 2" xfId="2640" xr:uid="{00000000-0005-0000-0000-0000ED090000}"/>
    <cellStyle name="Good 16" xfId="2641" xr:uid="{00000000-0005-0000-0000-0000EE090000}"/>
    <cellStyle name="Good 16 2" xfId="2642" xr:uid="{00000000-0005-0000-0000-0000EF090000}"/>
    <cellStyle name="Good 17" xfId="2643" xr:uid="{00000000-0005-0000-0000-0000F0090000}"/>
    <cellStyle name="Good 17 2" xfId="2644" xr:uid="{00000000-0005-0000-0000-0000F1090000}"/>
    <cellStyle name="Good 18" xfId="2645" xr:uid="{00000000-0005-0000-0000-0000F2090000}"/>
    <cellStyle name="Good 18 2" xfId="2646" xr:uid="{00000000-0005-0000-0000-0000F3090000}"/>
    <cellStyle name="Good 2" xfId="2647" xr:uid="{00000000-0005-0000-0000-0000F4090000}"/>
    <cellStyle name="Good 2 2" xfId="2648" xr:uid="{00000000-0005-0000-0000-0000F5090000}"/>
    <cellStyle name="Good 2 3" xfId="2649" xr:uid="{00000000-0005-0000-0000-0000F6090000}"/>
    <cellStyle name="Good 3" xfId="2650" xr:uid="{00000000-0005-0000-0000-0000F7090000}"/>
    <cellStyle name="Good 3 2" xfId="2651" xr:uid="{00000000-0005-0000-0000-0000F8090000}"/>
    <cellStyle name="Good 4" xfId="2652" xr:uid="{00000000-0005-0000-0000-0000F9090000}"/>
    <cellStyle name="Good 4 2" xfId="2653" xr:uid="{00000000-0005-0000-0000-0000FA090000}"/>
    <cellStyle name="Good 5" xfId="2654" xr:uid="{00000000-0005-0000-0000-0000FB090000}"/>
    <cellStyle name="Good 5 2" xfId="2655" xr:uid="{00000000-0005-0000-0000-0000FC090000}"/>
    <cellStyle name="Good 6" xfId="2656" xr:uid="{00000000-0005-0000-0000-0000FD090000}"/>
    <cellStyle name="Good 6 2" xfId="2657" xr:uid="{00000000-0005-0000-0000-0000FE090000}"/>
    <cellStyle name="Good 7" xfId="2658" xr:uid="{00000000-0005-0000-0000-0000FF090000}"/>
    <cellStyle name="Good 7 2" xfId="2659" xr:uid="{00000000-0005-0000-0000-0000000A0000}"/>
    <cellStyle name="Good 8" xfId="2660" xr:uid="{00000000-0005-0000-0000-0000010A0000}"/>
    <cellStyle name="Good 8 2" xfId="2661" xr:uid="{00000000-0005-0000-0000-0000020A0000}"/>
    <cellStyle name="Good 9" xfId="2662" xr:uid="{00000000-0005-0000-0000-0000030A0000}"/>
    <cellStyle name="Good 9 2" xfId="2663" xr:uid="{00000000-0005-0000-0000-0000040A0000}"/>
    <cellStyle name="Halb" xfId="25" builtinId="27" customBuiltin="1"/>
    <cellStyle name="Halb 2" xfId="2664" xr:uid="{00000000-0005-0000-0000-0000050A0000}"/>
    <cellStyle name="Hea" xfId="30" builtinId="26" customBuiltin="1"/>
    <cellStyle name="Hea 2" xfId="2665" xr:uid="{00000000-0005-0000-0000-0000060A0000}"/>
    <cellStyle name="Heading 1 10" xfId="2666" xr:uid="{00000000-0005-0000-0000-0000080A0000}"/>
    <cellStyle name="Heading 1 10 2" xfId="2667" xr:uid="{00000000-0005-0000-0000-0000090A0000}"/>
    <cellStyle name="Heading 1 10_ST_MAHUD" xfId="2668" xr:uid="{00000000-0005-0000-0000-00000A0A0000}"/>
    <cellStyle name="Heading 1 11" xfId="2669" xr:uid="{00000000-0005-0000-0000-00000B0A0000}"/>
    <cellStyle name="Heading 1 11 2" xfId="2670" xr:uid="{00000000-0005-0000-0000-00000C0A0000}"/>
    <cellStyle name="Heading 1 11_ST_MAHUD" xfId="2671" xr:uid="{00000000-0005-0000-0000-00000D0A0000}"/>
    <cellStyle name="Heading 1 12" xfId="2672" xr:uid="{00000000-0005-0000-0000-00000E0A0000}"/>
    <cellStyle name="Heading 1 12 2" xfId="2673" xr:uid="{00000000-0005-0000-0000-00000F0A0000}"/>
    <cellStyle name="Heading 1 12_ST_MAHUD" xfId="2674" xr:uid="{00000000-0005-0000-0000-0000100A0000}"/>
    <cellStyle name="Heading 1 13" xfId="2675" xr:uid="{00000000-0005-0000-0000-0000110A0000}"/>
    <cellStyle name="Heading 1 13 2" xfId="2676" xr:uid="{00000000-0005-0000-0000-0000120A0000}"/>
    <cellStyle name="Heading 1 13_ST_MAHUD" xfId="2677" xr:uid="{00000000-0005-0000-0000-0000130A0000}"/>
    <cellStyle name="Heading 1 14" xfId="2678" xr:uid="{00000000-0005-0000-0000-0000140A0000}"/>
    <cellStyle name="Heading 1 14 2" xfId="2679" xr:uid="{00000000-0005-0000-0000-0000150A0000}"/>
    <cellStyle name="Heading 1 14_ST_MAHUD" xfId="2680" xr:uid="{00000000-0005-0000-0000-0000160A0000}"/>
    <cellStyle name="Heading 1 15" xfId="2681" xr:uid="{00000000-0005-0000-0000-0000170A0000}"/>
    <cellStyle name="Heading 1 15 2" xfId="2682" xr:uid="{00000000-0005-0000-0000-0000180A0000}"/>
    <cellStyle name="Heading 1 15_ST_MAHUD" xfId="2683" xr:uid="{00000000-0005-0000-0000-0000190A0000}"/>
    <cellStyle name="Heading 1 16" xfId="2684" xr:uid="{00000000-0005-0000-0000-00001A0A0000}"/>
    <cellStyle name="Heading 1 16 2" xfId="2685" xr:uid="{00000000-0005-0000-0000-00001B0A0000}"/>
    <cellStyle name="Heading 1 16_ST_MAHUD" xfId="2686" xr:uid="{00000000-0005-0000-0000-00001C0A0000}"/>
    <cellStyle name="Heading 1 17" xfId="2687" xr:uid="{00000000-0005-0000-0000-00001D0A0000}"/>
    <cellStyle name="Heading 1 17 2" xfId="2688" xr:uid="{00000000-0005-0000-0000-00001E0A0000}"/>
    <cellStyle name="Heading 1 17_ST_MAHUD" xfId="2689" xr:uid="{00000000-0005-0000-0000-00001F0A0000}"/>
    <cellStyle name="Heading 1 18" xfId="2690" xr:uid="{00000000-0005-0000-0000-0000200A0000}"/>
    <cellStyle name="Heading 1 18 2" xfId="2691" xr:uid="{00000000-0005-0000-0000-0000210A0000}"/>
    <cellStyle name="Heading 1 18_ST_MAHUD" xfId="2692" xr:uid="{00000000-0005-0000-0000-0000220A0000}"/>
    <cellStyle name="Heading 1 19" xfId="2693" xr:uid="{00000000-0005-0000-0000-0000230A0000}"/>
    <cellStyle name="Heading 1 2" xfId="2694" xr:uid="{00000000-0005-0000-0000-0000240A0000}"/>
    <cellStyle name="Heading 1 2 2" xfId="2695" xr:uid="{00000000-0005-0000-0000-0000250A0000}"/>
    <cellStyle name="Heading 1 2 3" xfId="2696" xr:uid="{00000000-0005-0000-0000-0000260A0000}"/>
    <cellStyle name="Heading 1 2_ST_MAHUD" xfId="2697" xr:uid="{00000000-0005-0000-0000-0000270A0000}"/>
    <cellStyle name="Heading 1 20" xfId="2698" xr:uid="{00000000-0005-0000-0000-0000280A0000}"/>
    <cellStyle name="Heading 1 21" xfId="2699" xr:uid="{00000000-0005-0000-0000-0000290A0000}"/>
    <cellStyle name="Heading 1 22" xfId="2700" xr:uid="{00000000-0005-0000-0000-00002A0A0000}"/>
    <cellStyle name="Heading 1 23" xfId="2701" xr:uid="{00000000-0005-0000-0000-00002B0A0000}"/>
    <cellStyle name="Heading 1 24" xfId="2702" xr:uid="{00000000-0005-0000-0000-00002C0A0000}"/>
    <cellStyle name="Heading 1 25" xfId="2703" xr:uid="{00000000-0005-0000-0000-00002D0A0000}"/>
    <cellStyle name="Heading 1 26" xfId="2704" xr:uid="{00000000-0005-0000-0000-00002E0A0000}"/>
    <cellStyle name="Heading 1 27" xfId="2705" xr:uid="{00000000-0005-0000-0000-00002F0A0000}"/>
    <cellStyle name="Heading 1 28" xfId="2706" xr:uid="{00000000-0005-0000-0000-0000300A0000}"/>
    <cellStyle name="Heading 1 29" xfId="2707" xr:uid="{00000000-0005-0000-0000-0000310A0000}"/>
    <cellStyle name="Heading 1 3" xfId="2708" xr:uid="{00000000-0005-0000-0000-0000320A0000}"/>
    <cellStyle name="Heading 1 3 2" xfId="2709" xr:uid="{00000000-0005-0000-0000-0000330A0000}"/>
    <cellStyle name="Heading 1 3_ST_MAHUD" xfId="2710" xr:uid="{00000000-0005-0000-0000-0000340A0000}"/>
    <cellStyle name="Heading 1 30" xfId="2711" xr:uid="{00000000-0005-0000-0000-0000350A0000}"/>
    <cellStyle name="Heading 1 31" xfId="2712" xr:uid="{00000000-0005-0000-0000-0000360A0000}"/>
    <cellStyle name="Heading 1 32" xfId="2713" xr:uid="{00000000-0005-0000-0000-0000370A0000}"/>
    <cellStyle name="Heading 1 33" xfId="2714" xr:uid="{00000000-0005-0000-0000-0000380A0000}"/>
    <cellStyle name="Heading 1 34" xfId="2715" xr:uid="{00000000-0005-0000-0000-0000390A0000}"/>
    <cellStyle name="Heading 1 35" xfId="2716" xr:uid="{00000000-0005-0000-0000-00003A0A0000}"/>
    <cellStyle name="Heading 1 36" xfId="2717" xr:uid="{00000000-0005-0000-0000-00003B0A0000}"/>
    <cellStyle name="Heading 1 37" xfId="2718" xr:uid="{00000000-0005-0000-0000-00003C0A0000}"/>
    <cellStyle name="Heading 1 38" xfId="2719" xr:uid="{00000000-0005-0000-0000-00003D0A0000}"/>
    <cellStyle name="Heading 1 39" xfId="2720" xr:uid="{00000000-0005-0000-0000-00003E0A0000}"/>
    <cellStyle name="Heading 1 4" xfId="2721" xr:uid="{00000000-0005-0000-0000-00003F0A0000}"/>
    <cellStyle name="Heading 1 4 2" xfId="2722" xr:uid="{00000000-0005-0000-0000-0000400A0000}"/>
    <cellStyle name="Heading 1 4_ST_MAHUD" xfId="2723" xr:uid="{00000000-0005-0000-0000-0000410A0000}"/>
    <cellStyle name="Heading 1 40" xfId="2724" xr:uid="{00000000-0005-0000-0000-0000420A0000}"/>
    <cellStyle name="Heading 1 41" xfId="2725" xr:uid="{00000000-0005-0000-0000-0000430A0000}"/>
    <cellStyle name="Heading 1 42" xfId="2726" xr:uid="{00000000-0005-0000-0000-0000440A0000}"/>
    <cellStyle name="Heading 1 43" xfId="2727" xr:uid="{00000000-0005-0000-0000-0000450A0000}"/>
    <cellStyle name="Heading 1 44" xfId="2728" xr:uid="{00000000-0005-0000-0000-0000460A0000}"/>
    <cellStyle name="Heading 1 45" xfId="2729" xr:uid="{00000000-0005-0000-0000-0000470A0000}"/>
    <cellStyle name="Heading 1 46" xfId="2730" xr:uid="{00000000-0005-0000-0000-0000480A0000}"/>
    <cellStyle name="Heading 1 47" xfId="2731" xr:uid="{00000000-0005-0000-0000-0000490A0000}"/>
    <cellStyle name="Heading 1 48" xfId="2732" xr:uid="{00000000-0005-0000-0000-00004A0A0000}"/>
    <cellStyle name="Heading 1 49" xfId="2733" xr:uid="{00000000-0005-0000-0000-00004B0A0000}"/>
    <cellStyle name="Heading 1 5" xfId="2734" xr:uid="{00000000-0005-0000-0000-00004C0A0000}"/>
    <cellStyle name="Heading 1 5 2" xfId="2735" xr:uid="{00000000-0005-0000-0000-00004D0A0000}"/>
    <cellStyle name="Heading 1 5_ST_MAHUD" xfId="2736" xr:uid="{00000000-0005-0000-0000-00004E0A0000}"/>
    <cellStyle name="Heading 1 50" xfId="2737" xr:uid="{00000000-0005-0000-0000-00004F0A0000}"/>
    <cellStyle name="Heading 1 51" xfId="2738" xr:uid="{00000000-0005-0000-0000-0000500A0000}"/>
    <cellStyle name="Heading 1 52" xfId="2739" xr:uid="{00000000-0005-0000-0000-0000510A0000}"/>
    <cellStyle name="Heading 1 53" xfId="2740" xr:uid="{00000000-0005-0000-0000-0000520A0000}"/>
    <cellStyle name="Heading 1 54" xfId="2741" xr:uid="{00000000-0005-0000-0000-0000530A0000}"/>
    <cellStyle name="Heading 1 55" xfId="2742" xr:uid="{00000000-0005-0000-0000-0000540A0000}"/>
    <cellStyle name="Heading 1 56" xfId="2743" xr:uid="{00000000-0005-0000-0000-0000550A0000}"/>
    <cellStyle name="Heading 1 57" xfId="2744" xr:uid="{00000000-0005-0000-0000-0000560A0000}"/>
    <cellStyle name="Heading 1 58" xfId="2745" xr:uid="{00000000-0005-0000-0000-0000570A0000}"/>
    <cellStyle name="Heading 1 59" xfId="2746" xr:uid="{00000000-0005-0000-0000-0000580A0000}"/>
    <cellStyle name="Heading 1 6" xfId="2747" xr:uid="{00000000-0005-0000-0000-0000590A0000}"/>
    <cellStyle name="Heading 1 6 2" xfId="2748" xr:uid="{00000000-0005-0000-0000-00005A0A0000}"/>
    <cellStyle name="Heading 1 6_ST_MAHUD" xfId="2749" xr:uid="{00000000-0005-0000-0000-00005B0A0000}"/>
    <cellStyle name="Heading 1 60" xfId="2750" xr:uid="{00000000-0005-0000-0000-00005C0A0000}"/>
    <cellStyle name="Heading 1 61" xfId="2751" xr:uid="{00000000-0005-0000-0000-00005D0A0000}"/>
    <cellStyle name="Heading 1 62" xfId="2752" xr:uid="{00000000-0005-0000-0000-00005E0A0000}"/>
    <cellStyle name="Heading 1 63" xfId="2753" xr:uid="{00000000-0005-0000-0000-00005F0A0000}"/>
    <cellStyle name="Heading 1 64" xfId="2754" xr:uid="{00000000-0005-0000-0000-0000600A0000}"/>
    <cellStyle name="Heading 1 65" xfId="2755" xr:uid="{00000000-0005-0000-0000-0000610A0000}"/>
    <cellStyle name="Heading 1 66" xfId="2756" xr:uid="{00000000-0005-0000-0000-0000620A0000}"/>
    <cellStyle name="Heading 1 67" xfId="2757" xr:uid="{00000000-0005-0000-0000-0000630A0000}"/>
    <cellStyle name="Heading 1 68" xfId="2758" xr:uid="{00000000-0005-0000-0000-0000640A0000}"/>
    <cellStyle name="Heading 1 69" xfId="2759" xr:uid="{00000000-0005-0000-0000-0000650A0000}"/>
    <cellStyle name="Heading 1 7" xfId="2760" xr:uid="{00000000-0005-0000-0000-0000660A0000}"/>
    <cellStyle name="Heading 1 7 2" xfId="2761" xr:uid="{00000000-0005-0000-0000-0000670A0000}"/>
    <cellStyle name="Heading 1 7_ST_MAHUD" xfId="2762" xr:uid="{00000000-0005-0000-0000-0000680A0000}"/>
    <cellStyle name="Heading 1 70" xfId="2763" xr:uid="{00000000-0005-0000-0000-0000690A0000}"/>
    <cellStyle name="Heading 1 71" xfId="2764" xr:uid="{00000000-0005-0000-0000-00006A0A0000}"/>
    <cellStyle name="Heading 1 8" xfId="2765" xr:uid="{00000000-0005-0000-0000-00006B0A0000}"/>
    <cellStyle name="Heading 1 8 2" xfId="2766" xr:uid="{00000000-0005-0000-0000-00006C0A0000}"/>
    <cellStyle name="Heading 1 8_ST_MAHUD" xfId="2767" xr:uid="{00000000-0005-0000-0000-00006D0A0000}"/>
    <cellStyle name="Heading 1 9" xfId="2768" xr:uid="{00000000-0005-0000-0000-00006E0A0000}"/>
    <cellStyle name="Heading 1 9 2" xfId="2769" xr:uid="{00000000-0005-0000-0000-00006F0A0000}"/>
    <cellStyle name="Heading 1 9_ST_MAHUD" xfId="2770" xr:uid="{00000000-0005-0000-0000-0000700A0000}"/>
    <cellStyle name="Heading 2 10" xfId="2771" xr:uid="{00000000-0005-0000-0000-0000720A0000}"/>
    <cellStyle name="Heading 2 10 2" xfId="2772" xr:uid="{00000000-0005-0000-0000-0000730A0000}"/>
    <cellStyle name="Heading 2 10_ST_MAHUD" xfId="2773" xr:uid="{00000000-0005-0000-0000-0000740A0000}"/>
    <cellStyle name="Heading 2 11" xfId="2774" xr:uid="{00000000-0005-0000-0000-0000750A0000}"/>
    <cellStyle name="Heading 2 11 2" xfId="2775" xr:uid="{00000000-0005-0000-0000-0000760A0000}"/>
    <cellStyle name="Heading 2 11_ST_MAHUD" xfId="2776" xr:uid="{00000000-0005-0000-0000-0000770A0000}"/>
    <cellStyle name="Heading 2 12" xfId="2777" xr:uid="{00000000-0005-0000-0000-0000780A0000}"/>
    <cellStyle name="Heading 2 12 2" xfId="2778" xr:uid="{00000000-0005-0000-0000-0000790A0000}"/>
    <cellStyle name="Heading 2 12_ST_MAHUD" xfId="2779" xr:uid="{00000000-0005-0000-0000-00007A0A0000}"/>
    <cellStyle name="Heading 2 13" xfId="2780" xr:uid="{00000000-0005-0000-0000-00007B0A0000}"/>
    <cellStyle name="Heading 2 13 2" xfId="2781" xr:uid="{00000000-0005-0000-0000-00007C0A0000}"/>
    <cellStyle name="Heading 2 13_ST_MAHUD" xfId="2782" xr:uid="{00000000-0005-0000-0000-00007D0A0000}"/>
    <cellStyle name="Heading 2 14" xfId="2783" xr:uid="{00000000-0005-0000-0000-00007E0A0000}"/>
    <cellStyle name="Heading 2 14 2" xfId="2784" xr:uid="{00000000-0005-0000-0000-00007F0A0000}"/>
    <cellStyle name="Heading 2 14_ST_MAHUD" xfId="2785" xr:uid="{00000000-0005-0000-0000-0000800A0000}"/>
    <cellStyle name="Heading 2 15" xfId="2786" xr:uid="{00000000-0005-0000-0000-0000810A0000}"/>
    <cellStyle name="Heading 2 15 2" xfId="2787" xr:uid="{00000000-0005-0000-0000-0000820A0000}"/>
    <cellStyle name="Heading 2 15_ST_MAHUD" xfId="2788" xr:uid="{00000000-0005-0000-0000-0000830A0000}"/>
    <cellStyle name="Heading 2 16" xfId="2789" xr:uid="{00000000-0005-0000-0000-0000840A0000}"/>
    <cellStyle name="Heading 2 16 2" xfId="2790" xr:uid="{00000000-0005-0000-0000-0000850A0000}"/>
    <cellStyle name="Heading 2 16_ST_MAHUD" xfId="2791" xr:uid="{00000000-0005-0000-0000-0000860A0000}"/>
    <cellStyle name="Heading 2 17" xfId="2792" xr:uid="{00000000-0005-0000-0000-0000870A0000}"/>
    <cellStyle name="Heading 2 17 2" xfId="2793" xr:uid="{00000000-0005-0000-0000-0000880A0000}"/>
    <cellStyle name="Heading 2 17_ST_MAHUD" xfId="2794" xr:uid="{00000000-0005-0000-0000-0000890A0000}"/>
    <cellStyle name="Heading 2 18" xfId="2795" xr:uid="{00000000-0005-0000-0000-00008A0A0000}"/>
    <cellStyle name="Heading 2 18 2" xfId="2796" xr:uid="{00000000-0005-0000-0000-00008B0A0000}"/>
    <cellStyle name="Heading 2 18_ST_MAHUD" xfId="2797" xr:uid="{00000000-0005-0000-0000-00008C0A0000}"/>
    <cellStyle name="Heading 2 19" xfId="2798" xr:uid="{00000000-0005-0000-0000-00008D0A0000}"/>
    <cellStyle name="Heading 2 2" xfId="2799" xr:uid="{00000000-0005-0000-0000-00008E0A0000}"/>
    <cellStyle name="Heading 2 2 2" xfId="2800" xr:uid="{00000000-0005-0000-0000-00008F0A0000}"/>
    <cellStyle name="Heading 2 2 3" xfId="2801" xr:uid="{00000000-0005-0000-0000-0000900A0000}"/>
    <cellStyle name="Heading 2 2_ST_MAHUD" xfId="2802" xr:uid="{00000000-0005-0000-0000-0000910A0000}"/>
    <cellStyle name="Heading 2 20" xfId="2803" xr:uid="{00000000-0005-0000-0000-0000920A0000}"/>
    <cellStyle name="Heading 2 21" xfId="2804" xr:uid="{00000000-0005-0000-0000-0000930A0000}"/>
    <cellStyle name="Heading 2 22" xfId="2805" xr:uid="{00000000-0005-0000-0000-0000940A0000}"/>
    <cellStyle name="Heading 2 23" xfId="2806" xr:uid="{00000000-0005-0000-0000-0000950A0000}"/>
    <cellStyle name="Heading 2 24" xfId="2807" xr:uid="{00000000-0005-0000-0000-0000960A0000}"/>
    <cellStyle name="Heading 2 25" xfId="2808" xr:uid="{00000000-0005-0000-0000-0000970A0000}"/>
    <cellStyle name="Heading 2 26" xfId="2809" xr:uid="{00000000-0005-0000-0000-0000980A0000}"/>
    <cellStyle name="Heading 2 27" xfId="2810" xr:uid="{00000000-0005-0000-0000-0000990A0000}"/>
    <cellStyle name="Heading 2 28" xfId="2811" xr:uid="{00000000-0005-0000-0000-00009A0A0000}"/>
    <cellStyle name="Heading 2 29" xfId="2812" xr:uid="{00000000-0005-0000-0000-00009B0A0000}"/>
    <cellStyle name="Heading 2 3" xfId="2813" xr:uid="{00000000-0005-0000-0000-00009C0A0000}"/>
    <cellStyle name="Heading 2 3 2" xfId="2814" xr:uid="{00000000-0005-0000-0000-00009D0A0000}"/>
    <cellStyle name="Heading 2 3_ST_MAHUD" xfId="2815" xr:uid="{00000000-0005-0000-0000-00009E0A0000}"/>
    <cellStyle name="Heading 2 30" xfId="2816" xr:uid="{00000000-0005-0000-0000-00009F0A0000}"/>
    <cellStyle name="Heading 2 31" xfId="2817" xr:uid="{00000000-0005-0000-0000-0000A00A0000}"/>
    <cellStyle name="Heading 2 32" xfId="2818" xr:uid="{00000000-0005-0000-0000-0000A10A0000}"/>
    <cellStyle name="Heading 2 33" xfId="2819" xr:uid="{00000000-0005-0000-0000-0000A20A0000}"/>
    <cellStyle name="Heading 2 34" xfId="2820" xr:uid="{00000000-0005-0000-0000-0000A30A0000}"/>
    <cellStyle name="Heading 2 35" xfId="2821" xr:uid="{00000000-0005-0000-0000-0000A40A0000}"/>
    <cellStyle name="Heading 2 36" xfId="2822" xr:uid="{00000000-0005-0000-0000-0000A50A0000}"/>
    <cellStyle name="Heading 2 37" xfId="2823" xr:uid="{00000000-0005-0000-0000-0000A60A0000}"/>
    <cellStyle name="Heading 2 38" xfId="2824" xr:uid="{00000000-0005-0000-0000-0000A70A0000}"/>
    <cellStyle name="Heading 2 39" xfId="2825" xr:uid="{00000000-0005-0000-0000-0000A80A0000}"/>
    <cellStyle name="Heading 2 4" xfId="2826" xr:uid="{00000000-0005-0000-0000-0000A90A0000}"/>
    <cellStyle name="Heading 2 4 2" xfId="2827" xr:uid="{00000000-0005-0000-0000-0000AA0A0000}"/>
    <cellStyle name="Heading 2 4_ST_MAHUD" xfId="2828" xr:uid="{00000000-0005-0000-0000-0000AB0A0000}"/>
    <cellStyle name="Heading 2 40" xfId="2829" xr:uid="{00000000-0005-0000-0000-0000AC0A0000}"/>
    <cellStyle name="Heading 2 41" xfId="2830" xr:uid="{00000000-0005-0000-0000-0000AD0A0000}"/>
    <cellStyle name="Heading 2 42" xfId="2831" xr:uid="{00000000-0005-0000-0000-0000AE0A0000}"/>
    <cellStyle name="Heading 2 43" xfId="2832" xr:uid="{00000000-0005-0000-0000-0000AF0A0000}"/>
    <cellStyle name="Heading 2 44" xfId="2833" xr:uid="{00000000-0005-0000-0000-0000B00A0000}"/>
    <cellStyle name="Heading 2 45" xfId="2834" xr:uid="{00000000-0005-0000-0000-0000B10A0000}"/>
    <cellStyle name="Heading 2 46" xfId="2835" xr:uid="{00000000-0005-0000-0000-0000B20A0000}"/>
    <cellStyle name="Heading 2 47" xfId="2836" xr:uid="{00000000-0005-0000-0000-0000B30A0000}"/>
    <cellStyle name="Heading 2 48" xfId="2837" xr:uid="{00000000-0005-0000-0000-0000B40A0000}"/>
    <cellStyle name="Heading 2 49" xfId="2838" xr:uid="{00000000-0005-0000-0000-0000B50A0000}"/>
    <cellStyle name="Heading 2 5" xfId="2839" xr:uid="{00000000-0005-0000-0000-0000B60A0000}"/>
    <cellStyle name="Heading 2 5 2" xfId="2840" xr:uid="{00000000-0005-0000-0000-0000B70A0000}"/>
    <cellStyle name="Heading 2 5_ST_MAHUD" xfId="2841" xr:uid="{00000000-0005-0000-0000-0000B80A0000}"/>
    <cellStyle name="Heading 2 50" xfId="2842" xr:uid="{00000000-0005-0000-0000-0000B90A0000}"/>
    <cellStyle name="Heading 2 51" xfId="2843" xr:uid="{00000000-0005-0000-0000-0000BA0A0000}"/>
    <cellStyle name="Heading 2 52" xfId="2844" xr:uid="{00000000-0005-0000-0000-0000BB0A0000}"/>
    <cellStyle name="Heading 2 53" xfId="2845" xr:uid="{00000000-0005-0000-0000-0000BC0A0000}"/>
    <cellStyle name="Heading 2 54" xfId="2846" xr:uid="{00000000-0005-0000-0000-0000BD0A0000}"/>
    <cellStyle name="Heading 2 55" xfId="2847" xr:uid="{00000000-0005-0000-0000-0000BE0A0000}"/>
    <cellStyle name="Heading 2 56" xfId="2848" xr:uid="{00000000-0005-0000-0000-0000BF0A0000}"/>
    <cellStyle name="Heading 2 57" xfId="2849" xr:uid="{00000000-0005-0000-0000-0000C00A0000}"/>
    <cellStyle name="Heading 2 58" xfId="2850" xr:uid="{00000000-0005-0000-0000-0000C10A0000}"/>
    <cellStyle name="Heading 2 59" xfId="2851" xr:uid="{00000000-0005-0000-0000-0000C20A0000}"/>
    <cellStyle name="Heading 2 6" xfId="2852" xr:uid="{00000000-0005-0000-0000-0000C30A0000}"/>
    <cellStyle name="Heading 2 6 2" xfId="2853" xr:uid="{00000000-0005-0000-0000-0000C40A0000}"/>
    <cellStyle name="Heading 2 6_ST_MAHUD" xfId="2854" xr:uid="{00000000-0005-0000-0000-0000C50A0000}"/>
    <cellStyle name="Heading 2 60" xfId="2855" xr:uid="{00000000-0005-0000-0000-0000C60A0000}"/>
    <cellStyle name="Heading 2 61" xfId="2856" xr:uid="{00000000-0005-0000-0000-0000C70A0000}"/>
    <cellStyle name="Heading 2 62" xfId="2857" xr:uid="{00000000-0005-0000-0000-0000C80A0000}"/>
    <cellStyle name="Heading 2 63" xfId="2858" xr:uid="{00000000-0005-0000-0000-0000C90A0000}"/>
    <cellStyle name="Heading 2 64" xfId="2859" xr:uid="{00000000-0005-0000-0000-0000CA0A0000}"/>
    <cellStyle name="Heading 2 65" xfId="2860" xr:uid="{00000000-0005-0000-0000-0000CB0A0000}"/>
    <cellStyle name="Heading 2 66" xfId="2861" xr:uid="{00000000-0005-0000-0000-0000CC0A0000}"/>
    <cellStyle name="Heading 2 67" xfId="2862" xr:uid="{00000000-0005-0000-0000-0000CD0A0000}"/>
    <cellStyle name="Heading 2 68" xfId="2863" xr:uid="{00000000-0005-0000-0000-0000CE0A0000}"/>
    <cellStyle name="Heading 2 69" xfId="2864" xr:uid="{00000000-0005-0000-0000-0000CF0A0000}"/>
    <cellStyle name="Heading 2 7" xfId="2865" xr:uid="{00000000-0005-0000-0000-0000D00A0000}"/>
    <cellStyle name="Heading 2 7 2" xfId="2866" xr:uid="{00000000-0005-0000-0000-0000D10A0000}"/>
    <cellStyle name="Heading 2 7_ST_MAHUD" xfId="2867" xr:uid="{00000000-0005-0000-0000-0000D20A0000}"/>
    <cellStyle name="Heading 2 70" xfId="2868" xr:uid="{00000000-0005-0000-0000-0000D30A0000}"/>
    <cellStyle name="Heading 2 71" xfId="2869" xr:uid="{00000000-0005-0000-0000-0000D40A0000}"/>
    <cellStyle name="Heading 2 8" xfId="2870" xr:uid="{00000000-0005-0000-0000-0000D50A0000}"/>
    <cellStyle name="Heading 2 8 2" xfId="2871" xr:uid="{00000000-0005-0000-0000-0000D60A0000}"/>
    <cellStyle name="Heading 2 8_ST_MAHUD" xfId="2872" xr:uid="{00000000-0005-0000-0000-0000D70A0000}"/>
    <cellStyle name="Heading 2 9" xfId="2873" xr:uid="{00000000-0005-0000-0000-0000D80A0000}"/>
    <cellStyle name="Heading 2 9 2" xfId="2874" xr:uid="{00000000-0005-0000-0000-0000D90A0000}"/>
    <cellStyle name="Heading 2 9_ST_MAHUD" xfId="2875" xr:uid="{00000000-0005-0000-0000-0000DA0A0000}"/>
    <cellStyle name="Heading 3 10" xfId="2876" xr:uid="{00000000-0005-0000-0000-0000DC0A0000}"/>
    <cellStyle name="Heading 3 10 2" xfId="2877" xr:uid="{00000000-0005-0000-0000-0000DD0A0000}"/>
    <cellStyle name="Heading 3 10_ST_MAHUD" xfId="2878" xr:uid="{00000000-0005-0000-0000-0000DE0A0000}"/>
    <cellStyle name="Heading 3 11" xfId="2879" xr:uid="{00000000-0005-0000-0000-0000DF0A0000}"/>
    <cellStyle name="Heading 3 11 2" xfId="2880" xr:uid="{00000000-0005-0000-0000-0000E00A0000}"/>
    <cellStyle name="Heading 3 11_ST_MAHUD" xfId="2881" xr:uid="{00000000-0005-0000-0000-0000E10A0000}"/>
    <cellStyle name="Heading 3 12" xfId="2882" xr:uid="{00000000-0005-0000-0000-0000E20A0000}"/>
    <cellStyle name="Heading 3 12 2" xfId="2883" xr:uid="{00000000-0005-0000-0000-0000E30A0000}"/>
    <cellStyle name="Heading 3 12_ST_MAHUD" xfId="2884" xr:uid="{00000000-0005-0000-0000-0000E40A0000}"/>
    <cellStyle name="Heading 3 13" xfId="2885" xr:uid="{00000000-0005-0000-0000-0000E50A0000}"/>
    <cellStyle name="Heading 3 13 2" xfId="2886" xr:uid="{00000000-0005-0000-0000-0000E60A0000}"/>
    <cellStyle name="Heading 3 13_ST_MAHUD" xfId="2887" xr:uid="{00000000-0005-0000-0000-0000E70A0000}"/>
    <cellStyle name="Heading 3 14" xfId="2888" xr:uid="{00000000-0005-0000-0000-0000E80A0000}"/>
    <cellStyle name="Heading 3 14 2" xfId="2889" xr:uid="{00000000-0005-0000-0000-0000E90A0000}"/>
    <cellStyle name="Heading 3 14_ST_MAHUD" xfId="2890" xr:uid="{00000000-0005-0000-0000-0000EA0A0000}"/>
    <cellStyle name="Heading 3 15" xfId="2891" xr:uid="{00000000-0005-0000-0000-0000EB0A0000}"/>
    <cellStyle name="Heading 3 15 2" xfId="2892" xr:uid="{00000000-0005-0000-0000-0000EC0A0000}"/>
    <cellStyle name="Heading 3 15_ST_MAHUD" xfId="2893" xr:uid="{00000000-0005-0000-0000-0000ED0A0000}"/>
    <cellStyle name="Heading 3 16" xfId="2894" xr:uid="{00000000-0005-0000-0000-0000EE0A0000}"/>
    <cellStyle name="Heading 3 16 2" xfId="2895" xr:uid="{00000000-0005-0000-0000-0000EF0A0000}"/>
    <cellStyle name="Heading 3 16_ST_MAHUD" xfId="2896" xr:uid="{00000000-0005-0000-0000-0000F00A0000}"/>
    <cellStyle name="Heading 3 17" xfId="2897" xr:uid="{00000000-0005-0000-0000-0000F10A0000}"/>
    <cellStyle name="Heading 3 17 2" xfId="2898" xr:uid="{00000000-0005-0000-0000-0000F20A0000}"/>
    <cellStyle name="Heading 3 17_ST_MAHUD" xfId="2899" xr:uid="{00000000-0005-0000-0000-0000F30A0000}"/>
    <cellStyle name="Heading 3 18" xfId="2900" xr:uid="{00000000-0005-0000-0000-0000F40A0000}"/>
    <cellStyle name="Heading 3 18 2" xfId="2901" xr:uid="{00000000-0005-0000-0000-0000F50A0000}"/>
    <cellStyle name="Heading 3 18_ST_MAHUD" xfId="2902" xr:uid="{00000000-0005-0000-0000-0000F60A0000}"/>
    <cellStyle name="Heading 3 19" xfId="2903" xr:uid="{00000000-0005-0000-0000-0000F70A0000}"/>
    <cellStyle name="Heading 3 2" xfId="2904" xr:uid="{00000000-0005-0000-0000-0000F80A0000}"/>
    <cellStyle name="Heading 3 2 2" xfId="2905" xr:uid="{00000000-0005-0000-0000-0000F90A0000}"/>
    <cellStyle name="Heading 3 2 3" xfId="2906" xr:uid="{00000000-0005-0000-0000-0000FA0A0000}"/>
    <cellStyle name="Heading 3 2_ST_MAHUD" xfId="2907" xr:uid="{00000000-0005-0000-0000-0000FB0A0000}"/>
    <cellStyle name="Heading 3 20" xfId="2908" xr:uid="{00000000-0005-0000-0000-0000FC0A0000}"/>
    <cellStyle name="Heading 3 21" xfId="2909" xr:uid="{00000000-0005-0000-0000-0000FD0A0000}"/>
    <cellStyle name="Heading 3 22" xfId="2910" xr:uid="{00000000-0005-0000-0000-0000FE0A0000}"/>
    <cellStyle name="Heading 3 23" xfId="2911" xr:uid="{00000000-0005-0000-0000-0000FF0A0000}"/>
    <cellStyle name="Heading 3 24" xfId="2912" xr:uid="{00000000-0005-0000-0000-0000000B0000}"/>
    <cellStyle name="Heading 3 25" xfId="2913" xr:uid="{00000000-0005-0000-0000-0000010B0000}"/>
    <cellStyle name="Heading 3 26" xfId="2914" xr:uid="{00000000-0005-0000-0000-0000020B0000}"/>
    <cellStyle name="Heading 3 27" xfId="2915" xr:uid="{00000000-0005-0000-0000-0000030B0000}"/>
    <cellStyle name="Heading 3 28" xfId="2916" xr:uid="{00000000-0005-0000-0000-0000040B0000}"/>
    <cellStyle name="Heading 3 29" xfId="2917" xr:uid="{00000000-0005-0000-0000-0000050B0000}"/>
    <cellStyle name="Heading 3 3" xfId="2918" xr:uid="{00000000-0005-0000-0000-0000060B0000}"/>
    <cellStyle name="Heading 3 3 2" xfId="2919" xr:uid="{00000000-0005-0000-0000-0000070B0000}"/>
    <cellStyle name="Heading 3 3_ST_MAHUD" xfId="2920" xr:uid="{00000000-0005-0000-0000-0000080B0000}"/>
    <cellStyle name="Heading 3 30" xfId="2921" xr:uid="{00000000-0005-0000-0000-0000090B0000}"/>
    <cellStyle name="Heading 3 31" xfId="2922" xr:uid="{00000000-0005-0000-0000-00000A0B0000}"/>
    <cellStyle name="Heading 3 32" xfId="2923" xr:uid="{00000000-0005-0000-0000-00000B0B0000}"/>
    <cellStyle name="Heading 3 33" xfId="2924" xr:uid="{00000000-0005-0000-0000-00000C0B0000}"/>
    <cellStyle name="Heading 3 34" xfId="2925" xr:uid="{00000000-0005-0000-0000-00000D0B0000}"/>
    <cellStyle name="Heading 3 35" xfId="2926" xr:uid="{00000000-0005-0000-0000-00000E0B0000}"/>
    <cellStyle name="Heading 3 36" xfId="2927" xr:uid="{00000000-0005-0000-0000-00000F0B0000}"/>
    <cellStyle name="Heading 3 37" xfId="2928" xr:uid="{00000000-0005-0000-0000-0000100B0000}"/>
    <cellStyle name="Heading 3 38" xfId="2929" xr:uid="{00000000-0005-0000-0000-0000110B0000}"/>
    <cellStyle name="Heading 3 39" xfId="2930" xr:uid="{00000000-0005-0000-0000-0000120B0000}"/>
    <cellStyle name="Heading 3 4" xfId="2931" xr:uid="{00000000-0005-0000-0000-0000130B0000}"/>
    <cellStyle name="Heading 3 4 2" xfId="2932" xr:uid="{00000000-0005-0000-0000-0000140B0000}"/>
    <cellStyle name="Heading 3 4_ST_MAHUD" xfId="2933" xr:uid="{00000000-0005-0000-0000-0000150B0000}"/>
    <cellStyle name="Heading 3 40" xfId="2934" xr:uid="{00000000-0005-0000-0000-0000160B0000}"/>
    <cellStyle name="Heading 3 41" xfId="2935" xr:uid="{00000000-0005-0000-0000-0000170B0000}"/>
    <cellStyle name="Heading 3 42" xfId="2936" xr:uid="{00000000-0005-0000-0000-0000180B0000}"/>
    <cellStyle name="Heading 3 43" xfId="2937" xr:uid="{00000000-0005-0000-0000-0000190B0000}"/>
    <cellStyle name="Heading 3 44" xfId="2938" xr:uid="{00000000-0005-0000-0000-00001A0B0000}"/>
    <cellStyle name="Heading 3 45" xfId="2939" xr:uid="{00000000-0005-0000-0000-00001B0B0000}"/>
    <cellStyle name="Heading 3 46" xfId="2940" xr:uid="{00000000-0005-0000-0000-00001C0B0000}"/>
    <cellStyle name="Heading 3 47" xfId="2941" xr:uid="{00000000-0005-0000-0000-00001D0B0000}"/>
    <cellStyle name="Heading 3 48" xfId="2942" xr:uid="{00000000-0005-0000-0000-00001E0B0000}"/>
    <cellStyle name="Heading 3 49" xfId="2943" xr:uid="{00000000-0005-0000-0000-00001F0B0000}"/>
    <cellStyle name="Heading 3 5" xfId="2944" xr:uid="{00000000-0005-0000-0000-0000200B0000}"/>
    <cellStyle name="Heading 3 5 2" xfId="2945" xr:uid="{00000000-0005-0000-0000-0000210B0000}"/>
    <cellStyle name="Heading 3 5_ST_MAHUD" xfId="2946" xr:uid="{00000000-0005-0000-0000-0000220B0000}"/>
    <cellStyle name="Heading 3 50" xfId="2947" xr:uid="{00000000-0005-0000-0000-0000230B0000}"/>
    <cellStyle name="Heading 3 51" xfId="2948" xr:uid="{00000000-0005-0000-0000-0000240B0000}"/>
    <cellStyle name="Heading 3 52" xfId="2949" xr:uid="{00000000-0005-0000-0000-0000250B0000}"/>
    <cellStyle name="Heading 3 53" xfId="2950" xr:uid="{00000000-0005-0000-0000-0000260B0000}"/>
    <cellStyle name="Heading 3 54" xfId="2951" xr:uid="{00000000-0005-0000-0000-0000270B0000}"/>
    <cellStyle name="Heading 3 55" xfId="2952" xr:uid="{00000000-0005-0000-0000-0000280B0000}"/>
    <cellStyle name="Heading 3 56" xfId="2953" xr:uid="{00000000-0005-0000-0000-0000290B0000}"/>
    <cellStyle name="Heading 3 57" xfId="2954" xr:uid="{00000000-0005-0000-0000-00002A0B0000}"/>
    <cellStyle name="Heading 3 58" xfId="2955" xr:uid="{00000000-0005-0000-0000-00002B0B0000}"/>
    <cellStyle name="Heading 3 59" xfId="2956" xr:uid="{00000000-0005-0000-0000-00002C0B0000}"/>
    <cellStyle name="Heading 3 6" xfId="2957" xr:uid="{00000000-0005-0000-0000-00002D0B0000}"/>
    <cellStyle name="Heading 3 6 2" xfId="2958" xr:uid="{00000000-0005-0000-0000-00002E0B0000}"/>
    <cellStyle name="Heading 3 6_ST_MAHUD" xfId="2959" xr:uid="{00000000-0005-0000-0000-00002F0B0000}"/>
    <cellStyle name="Heading 3 60" xfId="2960" xr:uid="{00000000-0005-0000-0000-0000300B0000}"/>
    <cellStyle name="Heading 3 61" xfId="2961" xr:uid="{00000000-0005-0000-0000-0000310B0000}"/>
    <cellStyle name="Heading 3 62" xfId="2962" xr:uid="{00000000-0005-0000-0000-0000320B0000}"/>
    <cellStyle name="Heading 3 63" xfId="2963" xr:uid="{00000000-0005-0000-0000-0000330B0000}"/>
    <cellStyle name="Heading 3 64" xfId="2964" xr:uid="{00000000-0005-0000-0000-0000340B0000}"/>
    <cellStyle name="Heading 3 65" xfId="2965" xr:uid="{00000000-0005-0000-0000-0000350B0000}"/>
    <cellStyle name="Heading 3 66" xfId="2966" xr:uid="{00000000-0005-0000-0000-0000360B0000}"/>
    <cellStyle name="Heading 3 67" xfId="2967" xr:uid="{00000000-0005-0000-0000-0000370B0000}"/>
    <cellStyle name="Heading 3 68" xfId="2968" xr:uid="{00000000-0005-0000-0000-0000380B0000}"/>
    <cellStyle name="Heading 3 69" xfId="2969" xr:uid="{00000000-0005-0000-0000-0000390B0000}"/>
    <cellStyle name="Heading 3 7" xfId="2970" xr:uid="{00000000-0005-0000-0000-00003A0B0000}"/>
    <cellStyle name="Heading 3 7 2" xfId="2971" xr:uid="{00000000-0005-0000-0000-00003B0B0000}"/>
    <cellStyle name="Heading 3 7_ST_MAHUD" xfId="2972" xr:uid="{00000000-0005-0000-0000-00003C0B0000}"/>
    <cellStyle name="Heading 3 70" xfId="2973" xr:uid="{00000000-0005-0000-0000-00003D0B0000}"/>
    <cellStyle name="Heading 3 71" xfId="2974" xr:uid="{00000000-0005-0000-0000-00003E0B0000}"/>
    <cellStyle name="Heading 3 8" xfId="2975" xr:uid="{00000000-0005-0000-0000-00003F0B0000}"/>
    <cellStyle name="Heading 3 8 2" xfId="2976" xr:uid="{00000000-0005-0000-0000-0000400B0000}"/>
    <cellStyle name="Heading 3 8_ST_MAHUD" xfId="2977" xr:uid="{00000000-0005-0000-0000-0000410B0000}"/>
    <cellStyle name="Heading 3 9" xfId="2978" xr:uid="{00000000-0005-0000-0000-0000420B0000}"/>
    <cellStyle name="Heading 3 9 2" xfId="2979" xr:uid="{00000000-0005-0000-0000-0000430B0000}"/>
    <cellStyle name="Heading 3 9_ST_MAHUD" xfId="2980" xr:uid="{00000000-0005-0000-0000-0000440B0000}"/>
    <cellStyle name="Heading 4 10" xfId="2981" xr:uid="{00000000-0005-0000-0000-0000460B0000}"/>
    <cellStyle name="Heading 4 10 2" xfId="2982" xr:uid="{00000000-0005-0000-0000-0000470B0000}"/>
    <cellStyle name="Heading 4 11" xfId="2983" xr:uid="{00000000-0005-0000-0000-0000480B0000}"/>
    <cellStyle name="Heading 4 11 2" xfId="2984" xr:uid="{00000000-0005-0000-0000-0000490B0000}"/>
    <cellStyle name="Heading 4 12" xfId="2985" xr:uid="{00000000-0005-0000-0000-00004A0B0000}"/>
    <cellStyle name="Heading 4 12 2" xfId="2986" xr:uid="{00000000-0005-0000-0000-00004B0B0000}"/>
    <cellStyle name="Heading 4 13" xfId="2987" xr:uid="{00000000-0005-0000-0000-00004C0B0000}"/>
    <cellStyle name="Heading 4 13 2" xfId="2988" xr:uid="{00000000-0005-0000-0000-00004D0B0000}"/>
    <cellStyle name="Heading 4 14" xfId="2989" xr:uid="{00000000-0005-0000-0000-00004E0B0000}"/>
    <cellStyle name="Heading 4 14 2" xfId="2990" xr:uid="{00000000-0005-0000-0000-00004F0B0000}"/>
    <cellStyle name="Heading 4 15" xfId="2991" xr:uid="{00000000-0005-0000-0000-0000500B0000}"/>
    <cellStyle name="Heading 4 15 2" xfId="2992" xr:uid="{00000000-0005-0000-0000-0000510B0000}"/>
    <cellStyle name="Heading 4 16" xfId="2993" xr:uid="{00000000-0005-0000-0000-0000520B0000}"/>
    <cellStyle name="Heading 4 16 2" xfId="2994" xr:uid="{00000000-0005-0000-0000-0000530B0000}"/>
    <cellStyle name="Heading 4 17" xfId="2995" xr:uid="{00000000-0005-0000-0000-0000540B0000}"/>
    <cellStyle name="Heading 4 17 2" xfId="2996" xr:uid="{00000000-0005-0000-0000-0000550B0000}"/>
    <cellStyle name="Heading 4 18" xfId="2997" xr:uid="{00000000-0005-0000-0000-0000560B0000}"/>
    <cellStyle name="Heading 4 18 2" xfId="2998" xr:uid="{00000000-0005-0000-0000-0000570B0000}"/>
    <cellStyle name="Heading 4 2" xfId="2999" xr:uid="{00000000-0005-0000-0000-0000580B0000}"/>
    <cellStyle name="Heading 4 2 2" xfId="3000" xr:uid="{00000000-0005-0000-0000-0000590B0000}"/>
    <cellStyle name="Heading 4 2 3" xfId="3001" xr:uid="{00000000-0005-0000-0000-00005A0B0000}"/>
    <cellStyle name="Heading 4 3" xfId="3002" xr:uid="{00000000-0005-0000-0000-00005B0B0000}"/>
    <cellStyle name="Heading 4 3 2" xfId="3003" xr:uid="{00000000-0005-0000-0000-00005C0B0000}"/>
    <cellStyle name="Heading 4 4" xfId="3004" xr:uid="{00000000-0005-0000-0000-00005D0B0000}"/>
    <cellStyle name="Heading 4 4 2" xfId="3005" xr:uid="{00000000-0005-0000-0000-00005E0B0000}"/>
    <cellStyle name="Heading 4 5" xfId="3006" xr:uid="{00000000-0005-0000-0000-00005F0B0000}"/>
    <cellStyle name="Heading 4 5 2" xfId="3007" xr:uid="{00000000-0005-0000-0000-0000600B0000}"/>
    <cellStyle name="Heading 4 6" xfId="3008" xr:uid="{00000000-0005-0000-0000-0000610B0000}"/>
    <cellStyle name="Heading 4 6 2" xfId="3009" xr:uid="{00000000-0005-0000-0000-0000620B0000}"/>
    <cellStyle name="Heading 4 7" xfId="3010" xr:uid="{00000000-0005-0000-0000-0000630B0000}"/>
    <cellStyle name="Heading 4 7 2" xfId="3011" xr:uid="{00000000-0005-0000-0000-0000640B0000}"/>
    <cellStyle name="Heading 4 8" xfId="3012" xr:uid="{00000000-0005-0000-0000-0000650B0000}"/>
    <cellStyle name="Heading 4 8 2" xfId="3013" xr:uid="{00000000-0005-0000-0000-0000660B0000}"/>
    <cellStyle name="Heading 4 9" xfId="3014" xr:uid="{00000000-0005-0000-0000-0000670B0000}"/>
    <cellStyle name="Heading 4 9 2" xfId="3015" xr:uid="{00000000-0005-0000-0000-0000680B0000}"/>
    <cellStyle name="Hoiatuse tekst" xfId="72" builtinId="11" customBuiltin="1"/>
    <cellStyle name="Hoiatustekst" xfId="3016" xr:uid="{00000000-0005-0000-0000-0000690B0000}"/>
    <cellStyle name="Hoiatustekst 2" xfId="3017" xr:uid="{00000000-0005-0000-0000-00006A0B0000}"/>
    <cellStyle name="Hüperlink 2" xfId="35" xr:uid="{00000000-0005-0000-0000-00006B0B0000}"/>
    <cellStyle name="Hyperlink 2" xfId="36" xr:uid="{00000000-0005-0000-0000-00006C0B0000}"/>
    <cellStyle name="Input 10" xfId="3018" xr:uid="{00000000-0005-0000-0000-00006E0B0000}"/>
    <cellStyle name="Input 10 2" xfId="3019" xr:uid="{00000000-0005-0000-0000-00006F0B0000}"/>
    <cellStyle name="Input 10_ST_MAHUD" xfId="3020" xr:uid="{00000000-0005-0000-0000-0000700B0000}"/>
    <cellStyle name="Input 11" xfId="3021" xr:uid="{00000000-0005-0000-0000-0000710B0000}"/>
    <cellStyle name="Input 11 2" xfId="3022" xr:uid="{00000000-0005-0000-0000-0000720B0000}"/>
    <cellStyle name="Input 11_ST_MAHUD" xfId="3023" xr:uid="{00000000-0005-0000-0000-0000730B0000}"/>
    <cellStyle name="Input 12" xfId="3024" xr:uid="{00000000-0005-0000-0000-0000740B0000}"/>
    <cellStyle name="Input 12 2" xfId="3025" xr:uid="{00000000-0005-0000-0000-0000750B0000}"/>
    <cellStyle name="Input 12_ST_MAHUD" xfId="3026" xr:uid="{00000000-0005-0000-0000-0000760B0000}"/>
    <cellStyle name="Input 13" xfId="3027" xr:uid="{00000000-0005-0000-0000-0000770B0000}"/>
    <cellStyle name="Input 13 2" xfId="3028" xr:uid="{00000000-0005-0000-0000-0000780B0000}"/>
    <cellStyle name="Input 13_ST_MAHUD" xfId="3029" xr:uid="{00000000-0005-0000-0000-0000790B0000}"/>
    <cellStyle name="Input 14" xfId="3030" xr:uid="{00000000-0005-0000-0000-00007A0B0000}"/>
    <cellStyle name="Input 14 2" xfId="3031" xr:uid="{00000000-0005-0000-0000-00007B0B0000}"/>
    <cellStyle name="Input 14_ST_MAHUD" xfId="3032" xr:uid="{00000000-0005-0000-0000-00007C0B0000}"/>
    <cellStyle name="Input 15" xfId="3033" xr:uid="{00000000-0005-0000-0000-00007D0B0000}"/>
    <cellStyle name="Input 15 2" xfId="3034" xr:uid="{00000000-0005-0000-0000-00007E0B0000}"/>
    <cellStyle name="Input 15_ST_MAHUD" xfId="3035" xr:uid="{00000000-0005-0000-0000-00007F0B0000}"/>
    <cellStyle name="Input 16" xfId="3036" xr:uid="{00000000-0005-0000-0000-0000800B0000}"/>
    <cellStyle name="Input 16 2" xfId="3037" xr:uid="{00000000-0005-0000-0000-0000810B0000}"/>
    <cellStyle name="Input 16_ST_MAHUD" xfId="3038" xr:uid="{00000000-0005-0000-0000-0000820B0000}"/>
    <cellStyle name="Input 17" xfId="3039" xr:uid="{00000000-0005-0000-0000-0000830B0000}"/>
    <cellStyle name="Input 17 2" xfId="3040" xr:uid="{00000000-0005-0000-0000-0000840B0000}"/>
    <cellStyle name="Input 17_ST_MAHUD" xfId="3041" xr:uid="{00000000-0005-0000-0000-0000850B0000}"/>
    <cellStyle name="Input 18" xfId="3042" xr:uid="{00000000-0005-0000-0000-0000860B0000}"/>
    <cellStyle name="Input 18 2" xfId="3043" xr:uid="{00000000-0005-0000-0000-0000870B0000}"/>
    <cellStyle name="Input 18_ST_MAHUD" xfId="3044" xr:uid="{00000000-0005-0000-0000-0000880B0000}"/>
    <cellStyle name="Input 19" xfId="3045" xr:uid="{00000000-0005-0000-0000-0000890B0000}"/>
    <cellStyle name="Input 2" xfId="3046" xr:uid="{00000000-0005-0000-0000-00008A0B0000}"/>
    <cellStyle name="Input 2 2" xfId="3047" xr:uid="{00000000-0005-0000-0000-00008B0B0000}"/>
    <cellStyle name="Input 2 3" xfId="3048" xr:uid="{00000000-0005-0000-0000-00008C0B0000}"/>
    <cellStyle name="Input 2_ST_MAHUD" xfId="3049" xr:uid="{00000000-0005-0000-0000-00008D0B0000}"/>
    <cellStyle name="Input 20" xfId="3050" xr:uid="{00000000-0005-0000-0000-00008E0B0000}"/>
    <cellStyle name="Input 21" xfId="3051" xr:uid="{00000000-0005-0000-0000-00008F0B0000}"/>
    <cellStyle name="Input 22" xfId="3052" xr:uid="{00000000-0005-0000-0000-0000900B0000}"/>
    <cellStyle name="Input 23" xfId="3053" xr:uid="{00000000-0005-0000-0000-0000910B0000}"/>
    <cellStyle name="Input 24" xfId="3054" xr:uid="{00000000-0005-0000-0000-0000920B0000}"/>
    <cellStyle name="Input 25" xfId="3055" xr:uid="{00000000-0005-0000-0000-0000930B0000}"/>
    <cellStyle name="Input 26" xfId="3056" xr:uid="{00000000-0005-0000-0000-0000940B0000}"/>
    <cellStyle name="Input 27" xfId="3057" xr:uid="{00000000-0005-0000-0000-0000950B0000}"/>
    <cellStyle name="Input 28" xfId="3058" xr:uid="{00000000-0005-0000-0000-0000960B0000}"/>
    <cellStyle name="Input 29" xfId="3059" xr:uid="{00000000-0005-0000-0000-0000970B0000}"/>
    <cellStyle name="Input 3" xfId="3060" xr:uid="{00000000-0005-0000-0000-0000980B0000}"/>
    <cellStyle name="Input 3 2" xfId="3061" xr:uid="{00000000-0005-0000-0000-0000990B0000}"/>
    <cellStyle name="Input 3_ST_MAHUD" xfId="3062" xr:uid="{00000000-0005-0000-0000-00009A0B0000}"/>
    <cellStyle name="Input 30" xfId="3063" xr:uid="{00000000-0005-0000-0000-00009B0B0000}"/>
    <cellStyle name="Input 31" xfId="3064" xr:uid="{00000000-0005-0000-0000-00009C0B0000}"/>
    <cellStyle name="Input 32" xfId="3065" xr:uid="{00000000-0005-0000-0000-00009D0B0000}"/>
    <cellStyle name="Input 33" xfId="3066" xr:uid="{00000000-0005-0000-0000-00009E0B0000}"/>
    <cellStyle name="Input 34" xfId="3067" xr:uid="{00000000-0005-0000-0000-00009F0B0000}"/>
    <cellStyle name="Input 35" xfId="3068" xr:uid="{00000000-0005-0000-0000-0000A00B0000}"/>
    <cellStyle name="Input 36" xfId="3069" xr:uid="{00000000-0005-0000-0000-0000A10B0000}"/>
    <cellStyle name="Input 37" xfId="3070" xr:uid="{00000000-0005-0000-0000-0000A20B0000}"/>
    <cellStyle name="Input 38" xfId="3071" xr:uid="{00000000-0005-0000-0000-0000A30B0000}"/>
    <cellStyle name="Input 39" xfId="3072" xr:uid="{00000000-0005-0000-0000-0000A40B0000}"/>
    <cellStyle name="Input 4" xfId="3073" xr:uid="{00000000-0005-0000-0000-0000A50B0000}"/>
    <cellStyle name="Input 4 2" xfId="3074" xr:uid="{00000000-0005-0000-0000-0000A60B0000}"/>
    <cellStyle name="Input 4_ST_MAHUD" xfId="3075" xr:uid="{00000000-0005-0000-0000-0000A70B0000}"/>
    <cellStyle name="Input 40" xfId="3076" xr:uid="{00000000-0005-0000-0000-0000A80B0000}"/>
    <cellStyle name="Input 41" xfId="3077" xr:uid="{00000000-0005-0000-0000-0000A90B0000}"/>
    <cellStyle name="Input 42" xfId="3078" xr:uid="{00000000-0005-0000-0000-0000AA0B0000}"/>
    <cellStyle name="Input 43" xfId="3079" xr:uid="{00000000-0005-0000-0000-0000AB0B0000}"/>
    <cellStyle name="Input 44" xfId="3080" xr:uid="{00000000-0005-0000-0000-0000AC0B0000}"/>
    <cellStyle name="Input 45" xfId="3081" xr:uid="{00000000-0005-0000-0000-0000AD0B0000}"/>
    <cellStyle name="Input 46" xfId="3082" xr:uid="{00000000-0005-0000-0000-0000AE0B0000}"/>
    <cellStyle name="Input 47" xfId="3083" xr:uid="{00000000-0005-0000-0000-0000AF0B0000}"/>
    <cellStyle name="Input 48" xfId="3084" xr:uid="{00000000-0005-0000-0000-0000B00B0000}"/>
    <cellStyle name="Input 49" xfId="3085" xr:uid="{00000000-0005-0000-0000-0000B10B0000}"/>
    <cellStyle name="Input 5" xfId="3086" xr:uid="{00000000-0005-0000-0000-0000B20B0000}"/>
    <cellStyle name="Input 5 2" xfId="3087" xr:uid="{00000000-0005-0000-0000-0000B30B0000}"/>
    <cellStyle name="Input 5_ST_MAHUD" xfId="3088" xr:uid="{00000000-0005-0000-0000-0000B40B0000}"/>
    <cellStyle name="Input 50" xfId="3089" xr:uid="{00000000-0005-0000-0000-0000B50B0000}"/>
    <cellStyle name="Input 51" xfId="3090" xr:uid="{00000000-0005-0000-0000-0000B60B0000}"/>
    <cellStyle name="Input 52" xfId="3091" xr:uid="{00000000-0005-0000-0000-0000B70B0000}"/>
    <cellStyle name="Input 53" xfId="3092" xr:uid="{00000000-0005-0000-0000-0000B80B0000}"/>
    <cellStyle name="Input 54" xfId="3093" xr:uid="{00000000-0005-0000-0000-0000B90B0000}"/>
    <cellStyle name="Input 55" xfId="3094" xr:uid="{00000000-0005-0000-0000-0000BA0B0000}"/>
    <cellStyle name="Input 56" xfId="3095" xr:uid="{00000000-0005-0000-0000-0000BB0B0000}"/>
    <cellStyle name="Input 57" xfId="3096" xr:uid="{00000000-0005-0000-0000-0000BC0B0000}"/>
    <cellStyle name="Input 58" xfId="3097" xr:uid="{00000000-0005-0000-0000-0000BD0B0000}"/>
    <cellStyle name="Input 59" xfId="3098" xr:uid="{00000000-0005-0000-0000-0000BE0B0000}"/>
    <cellStyle name="Input 6" xfId="3099" xr:uid="{00000000-0005-0000-0000-0000BF0B0000}"/>
    <cellStyle name="Input 6 2" xfId="3100" xr:uid="{00000000-0005-0000-0000-0000C00B0000}"/>
    <cellStyle name="Input 6_ST_MAHUD" xfId="3101" xr:uid="{00000000-0005-0000-0000-0000C10B0000}"/>
    <cellStyle name="Input 60" xfId="3102" xr:uid="{00000000-0005-0000-0000-0000C20B0000}"/>
    <cellStyle name="Input 61" xfId="3103" xr:uid="{00000000-0005-0000-0000-0000C30B0000}"/>
    <cellStyle name="Input 62" xfId="3104" xr:uid="{00000000-0005-0000-0000-0000C40B0000}"/>
    <cellStyle name="Input 63" xfId="3105" xr:uid="{00000000-0005-0000-0000-0000C50B0000}"/>
    <cellStyle name="Input 64" xfId="3106" xr:uid="{00000000-0005-0000-0000-0000C60B0000}"/>
    <cellStyle name="Input 65" xfId="3107" xr:uid="{00000000-0005-0000-0000-0000C70B0000}"/>
    <cellStyle name="Input 66" xfId="3108" xr:uid="{00000000-0005-0000-0000-0000C80B0000}"/>
    <cellStyle name="Input 67" xfId="3109" xr:uid="{00000000-0005-0000-0000-0000C90B0000}"/>
    <cellStyle name="Input 68" xfId="3110" xr:uid="{00000000-0005-0000-0000-0000CA0B0000}"/>
    <cellStyle name="Input 69" xfId="3111" xr:uid="{00000000-0005-0000-0000-0000CB0B0000}"/>
    <cellStyle name="Input 7" xfId="3112" xr:uid="{00000000-0005-0000-0000-0000CC0B0000}"/>
    <cellStyle name="Input 7 2" xfId="3113" xr:uid="{00000000-0005-0000-0000-0000CD0B0000}"/>
    <cellStyle name="Input 7_ST_MAHUD" xfId="3114" xr:uid="{00000000-0005-0000-0000-0000CE0B0000}"/>
    <cellStyle name="Input 70" xfId="3115" xr:uid="{00000000-0005-0000-0000-0000CF0B0000}"/>
    <cellStyle name="Input 71" xfId="3116" xr:uid="{00000000-0005-0000-0000-0000D00B0000}"/>
    <cellStyle name="Input 8" xfId="3117" xr:uid="{00000000-0005-0000-0000-0000D10B0000}"/>
    <cellStyle name="Input 8 2" xfId="3118" xr:uid="{00000000-0005-0000-0000-0000D20B0000}"/>
    <cellStyle name="Input 8_ST_MAHUD" xfId="3119" xr:uid="{00000000-0005-0000-0000-0000D30B0000}"/>
    <cellStyle name="Input 9" xfId="3120" xr:uid="{00000000-0005-0000-0000-0000D40B0000}"/>
    <cellStyle name="Input 9 2" xfId="3121" xr:uid="{00000000-0005-0000-0000-0000D50B0000}"/>
    <cellStyle name="Input 9_ST_MAHUD" xfId="3122" xr:uid="{00000000-0005-0000-0000-0000D60B0000}"/>
    <cellStyle name="Kokku" xfId="71" xr:uid="{00000000-0005-0000-0000-0000D70B0000}"/>
    <cellStyle name="Kokku 2" xfId="3123" xr:uid="{00000000-0005-0000-0000-0000D80B0000}"/>
    <cellStyle name="Kokku 3" xfId="3914" xr:uid="{C50A984A-0119-4CFB-B565-3370E519E38C}"/>
    <cellStyle name="Koma" xfId="28" builtinId="3"/>
    <cellStyle name="Koma 2" xfId="38" xr:uid="{00000000-0005-0000-0000-0000D90B0000}"/>
    <cellStyle name="Koma 2 2" xfId="39" xr:uid="{00000000-0005-0000-0000-0000DA0B0000}"/>
    <cellStyle name="Koma 2 2 2" xfId="3896" xr:uid="{B82310E7-271F-4463-88E4-E94ED6E79897}"/>
    <cellStyle name="Koma 2 2 2 2" xfId="3920" xr:uid="{D513B8A3-F619-49C6-B431-2256837B8D90}"/>
    <cellStyle name="Koma 2 2 3" xfId="3910" xr:uid="{E27BA25C-88AB-4C37-8C67-87C646F1CFC1}"/>
    <cellStyle name="Koma 2 3" xfId="133" xr:uid="{00000000-0005-0000-0000-0000DB0B0000}"/>
    <cellStyle name="Koma 2 3 2" xfId="3898" xr:uid="{038556E9-BAB2-4C53-B532-14D0BCAD3228}"/>
    <cellStyle name="Koma 2 3 2 2" xfId="3922" xr:uid="{D623A250-9832-4BCB-B06D-12B8A5F3F622}"/>
    <cellStyle name="Koma 2 3 3" xfId="3916" xr:uid="{CC6FDAEE-F7F6-48EA-85D7-8F3B827FBC66}"/>
    <cellStyle name="Koma 2 4" xfId="3895" xr:uid="{F9387762-5506-4836-8955-305468E4D977}"/>
    <cellStyle name="Koma 2 4 2" xfId="3919" xr:uid="{9CFC1437-8789-4D5F-9FDC-C7B2203F219D}"/>
    <cellStyle name="Koma 2 5" xfId="3909" xr:uid="{CF97AB3A-B5A5-44B9-823C-75A8BE417140}"/>
    <cellStyle name="Koma 3" xfId="97" xr:uid="{00000000-0005-0000-0000-0000DC0B0000}"/>
    <cellStyle name="Koma 3 2" xfId="139" xr:uid="{00000000-0005-0000-0000-0000DD0B0000}"/>
    <cellStyle name="Koma 3 2 2" xfId="3899" xr:uid="{BC60D790-D303-4E00-9F25-033C91295C7E}"/>
    <cellStyle name="Koma 3 2 2 2" xfId="3923" xr:uid="{1260D5F6-836E-4212-BD26-8CECA5DAF6D8}"/>
    <cellStyle name="Koma 3 2 3" xfId="3917" xr:uid="{34E8D118-60EB-4D2F-B188-9FB48665E0A6}"/>
    <cellStyle name="Koma 3 3" xfId="3897" xr:uid="{80471F73-5EC0-45BC-B7BA-E81CB18FDA2B}"/>
    <cellStyle name="Koma 3 3 2" xfId="3921" xr:uid="{764162F1-354F-49FA-8232-D868EF688C3B}"/>
    <cellStyle name="Koma 3 4" xfId="3915" xr:uid="{E043932F-9348-41F5-81D9-6795E7E05308}"/>
    <cellStyle name="Koma 4" xfId="3894" xr:uid="{61835CD5-DD0A-4ACB-8513-E2A3ECE789CC}"/>
    <cellStyle name="Koma 4 2" xfId="3918" xr:uid="{7C127EC6-8EF4-4ECC-934A-7A6BF4056BAC}"/>
    <cellStyle name="Koma 5" xfId="3908" xr:uid="{F9979880-FD15-4714-8DB6-EF2ECF00B668}"/>
    <cellStyle name="Kontrolli lahtrit" xfId="27" builtinId="23" customBuiltin="1"/>
    <cellStyle name="Kontrolli lahtrit 2" xfId="3124" xr:uid="{00000000-0005-0000-0000-0000DE0B0000}"/>
    <cellStyle name="Lingitud lahter" xfId="40" xr:uid="{00000000-0005-0000-0000-0000DF0B0000}"/>
    <cellStyle name="Lingitud lahter 2" xfId="3125" xr:uid="{00000000-0005-0000-0000-0000E00B0000}"/>
    <cellStyle name="Lingitud lahter 3" xfId="3911" xr:uid="{E01B476F-0FF9-408B-9147-E6E148B23475}"/>
    <cellStyle name="Linked Cell 10" xfId="3126" xr:uid="{00000000-0005-0000-0000-0000E10B0000}"/>
    <cellStyle name="Linked Cell 10 2" xfId="3127" xr:uid="{00000000-0005-0000-0000-0000E20B0000}"/>
    <cellStyle name="Linked Cell 10_ST_MAHUD" xfId="3128" xr:uid="{00000000-0005-0000-0000-0000E30B0000}"/>
    <cellStyle name="Linked Cell 11" xfId="3129" xr:uid="{00000000-0005-0000-0000-0000E40B0000}"/>
    <cellStyle name="Linked Cell 11 2" xfId="3130" xr:uid="{00000000-0005-0000-0000-0000E50B0000}"/>
    <cellStyle name="Linked Cell 11_ST_MAHUD" xfId="3131" xr:uid="{00000000-0005-0000-0000-0000E60B0000}"/>
    <cellStyle name="Linked Cell 12" xfId="3132" xr:uid="{00000000-0005-0000-0000-0000E70B0000}"/>
    <cellStyle name="Linked Cell 12 2" xfId="3133" xr:uid="{00000000-0005-0000-0000-0000E80B0000}"/>
    <cellStyle name="Linked Cell 12_ST_MAHUD" xfId="3134" xr:uid="{00000000-0005-0000-0000-0000E90B0000}"/>
    <cellStyle name="Linked Cell 13" xfId="3135" xr:uid="{00000000-0005-0000-0000-0000EA0B0000}"/>
    <cellStyle name="Linked Cell 13 2" xfId="3136" xr:uid="{00000000-0005-0000-0000-0000EB0B0000}"/>
    <cellStyle name="Linked Cell 13_ST_MAHUD" xfId="3137" xr:uid="{00000000-0005-0000-0000-0000EC0B0000}"/>
    <cellStyle name="Linked Cell 14" xfId="3138" xr:uid="{00000000-0005-0000-0000-0000ED0B0000}"/>
    <cellStyle name="Linked Cell 14 2" xfId="3139" xr:uid="{00000000-0005-0000-0000-0000EE0B0000}"/>
    <cellStyle name="Linked Cell 14_ST_MAHUD" xfId="3140" xr:uid="{00000000-0005-0000-0000-0000EF0B0000}"/>
    <cellStyle name="Linked Cell 15" xfId="3141" xr:uid="{00000000-0005-0000-0000-0000F00B0000}"/>
    <cellStyle name="Linked Cell 15 2" xfId="3142" xr:uid="{00000000-0005-0000-0000-0000F10B0000}"/>
    <cellStyle name="Linked Cell 15_ST_MAHUD" xfId="3143" xr:uid="{00000000-0005-0000-0000-0000F20B0000}"/>
    <cellStyle name="Linked Cell 16" xfId="3144" xr:uid="{00000000-0005-0000-0000-0000F30B0000}"/>
    <cellStyle name="Linked Cell 16 2" xfId="3145" xr:uid="{00000000-0005-0000-0000-0000F40B0000}"/>
    <cellStyle name="Linked Cell 16_ST_MAHUD" xfId="3146" xr:uid="{00000000-0005-0000-0000-0000F50B0000}"/>
    <cellStyle name="Linked Cell 17" xfId="3147" xr:uid="{00000000-0005-0000-0000-0000F60B0000}"/>
    <cellStyle name="Linked Cell 17 2" xfId="3148" xr:uid="{00000000-0005-0000-0000-0000F70B0000}"/>
    <cellStyle name="Linked Cell 17_ST_MAHUD" xfId="3149" xr:uid="{00000000-0005-0000-0000-0000F80B0000}"/>
    <cellStyle name="Linked Cell 18" xfId="3150" xr:uid="{00000000-0005-0000-0000-0000F90B0000}"/>
    <cellStyle name="Linked Cell 18 2" xfId="3151" xr:uid="{00000000-0005-0000-0000-0000FA0B0000}"/>
    <cellStyle name="Linked Cell 18_ST_MAHUD" xfId="3152" xr:uid="{00000000-0005-0000-0000-0000FB0B0000}"/>
    <cellStyle name="Linked Cell 19" xfId="3153" xr:uid="{00000000-0005-0000-0000-0000FC0B0000}"/>
    <cellStyle name="Linked Cell 2" xfId="3154" xr:uid="{00000000-0005-0000-0000-0000FD0B0000}"/>
    <cellStyle name="Linked Cell 2 2" xfId="3155" xr:uid="{00000000-0005-0000-0000-0000FE0B0000}"/>
    <cellStyle name="Linked Cell 2 3" xfId="3156" xr:uid="{00000000-0005-0000-0000-0000FF0B0000}"/>
    <cellStyle name="Linked Cell 2_ST_MAHUD" xfId="3157" xr:uid="{00000000-0005-0000-0000-0000000C0000}"/>
    <cellStyle name="Linked Cell 20" xfId="3158" xr:uid="{00000000-0005-0000-0000-0000010C0000}"/>
    <cellStyle name="Linked Cell 21" xfId="3159" xr:uid="{00000000-0005-0000-0000-0000020C0000}"/>
    <cellStyle name="Linked Cell 22" xfId="3160" xr:uid="{00000000-0005-0000-0000-0000030C0000}"/>
    <cellStyle name="Linked Cell 23" xfId="3161" xr:uid="{00000000-0005-0000-0000-0000040C0000}"/>
    <cellStyle name="Linked Cell 24" xfId="3162" xr:uid="{00000000-0005-0000-0000-0000050C0000}"/>
    <cellStyle name="Linked Cell 25" xfId="3163" xr:uid="{00000000-0005-0000-0000-0000060C0000}"/>
    <cellStyle name="Linked Cell 26" xfId="3164" xr:uid="{00000000-0005-0000-0000-0000070C0000}"/>
    <cellStyle name="Linked Cell 27" xfId="3165" xr:uid="{00000000-0005-0000-0000-0000080C0000}"/>
    <cellStyle name="Linked Cell 28" xfId="3166" xr:uid="{00000000-0005-0000-0000-0000090C0000}"/>
    <cellStyle name="Linked Cell 29" xfId="3167" xr:uid="{00000000-0005-0000-0000-00000A0C0000}"/>
    <cellStyle name="Linked Cell 3" xfId="3168" xr:uid="{00000000-0005-0000-0000-00000B0C0000}"/>
    <cellStyle name="Linked Cell 3 2" xfId="3169" xr:uid="{00000000-0005-0000-0000-00000C0C0000}"/>
    <cellStyle name="Linked Cell 3_ST_MAHUD" xfId="3170" xr:uid="{00000000-0005-0000-0000-00000D0C0000}"/>
    <cellStyle name="Linked Cell 30" xfId="3171" xr:uid="{00000000-0005-0000-0000-00000E0C0000}"/>
    <cellStyle name="Linked Cell 31" xfId="3172" xr:uid="{00000000-0005-0000-0000-00000F0C0000}"/>
    <cellStyle name="Linked Cell 32" xfId="3173" xr:uid="{00000000-0005-0000-0000-0000100C0000}"/>
    <cellStyle name="Linked Cell 33" xfId="3174" xr:uid="{00000000-0005-0000-0000-0000110C0000}"/>
    <cellStyle name="Linked Cell 34" xfId="3175" xr:uid="{00000000-0005-0000-0000-0000120C0000}"/>
    <cellStyle name="Linked Cell 35" xfId="3176" xr:uid="{00000000-0005-0000-0000-0000130C0000}"/>
    <cellStyle name="Linked Cell 36" xfId="3177" xr:uid="{00000000-0005-0000-0000-0000140C0000}"/>
    <cellStyle name="Linked Cell 37" xfId="3178" xr:uid="{00000000-0005-0000-0000-0000150C0000}"/>
    <cellStyle name="Linked Cell 38" xfId="3179" xr:uid="{00000000-0005-0000-0000-0000160C0000}"/>
    <cellStyle name="Linked Cell 39" xfId="3180" xr:uid="{00000000-0005-0000-0000-0000170C0000}"/>
    <cellStyle name="Linked Cell 4" xfId="3181" xr:uid="{00000000-0005-0000-0000-0000180C0000}"/>
    <cellStyle name="Linked Cell 4 2" xfId="3182" xr:uid="{00000000-0005-0000-0000-0000190C0000}"/>
    <cellStyle name="Linked Cell 4_ST_MAHUD" xfId="3183" xr:uid="{00000000-0005-0000-0000-00001A0C0000}"/>
    <cellStyle name="Linked Cell 40" xfId="3184" xr:uid="{00000000-0005-0000-0000-00001B0C0000}"/>
    <cellStyle name="Linked Cell 41" xfId="3185" xr:uid="{00000000-0005-0000-0000-00001C0C0000}"/>
    <cellStyle name="Linked Cell 42" xfId="3186" xr:uid="{00000000-0005-0000-0000-00001D0C0000}"/>
    <cellStyle name="Linked Cell 43" xfId="3187" xr:uid="{00000000-0005-0000-0000-00001E0C0000}"/>
    <cellStyle name="Linked Cell 44" xfId="3188" xr:uid="{00000000-0005-0000-0000-00001F0C0000}"/>
    <cellStyle name="Linked Cell 45" xfId="3189" xr:uid="{00000000-0005-0000-0000-0000200C0000}"/>
    <cellStyle name="Linked Cell 46" xfId="3190" xr:uid="{00000000-0005-0000-0000-0000210C0000}"/>
    <cellStyle name="Linked Cell 47" xfId="3191" xr:uid="{00000000-0005-0000-0000-0000220C0000}"/>
    <cellStyle name="Linked Cell 48" xfId="3192" xr:uid="{00000000-0005-0000-0000-0000230C0000}"/>
    <cellStyle name="Linked Cell 49" xfId="3193" xr:uid="{00000000-0005-0000-0000-0000240C0000}"/>
    <cellStyle name="Linked Cell 5" xfId="3194" xr:uid="{00000000-0005-0000-0000-0000250C0000}"/>
    <cellStyle name="Linked Cell 5 2" xfId="3195" xr:uid="{00000000-0005-0000-0000-0000260C0000}"/>
    <cellStyle name="Linked Cell 5_ST_MAHUD" xfId="3196" xr:uid="{00000000-0005-0000-0000-0000270C0000}"/>
    <cellStyle name="Linked Cell 50" xfId="3197" xr:uid="{00000000-0005-0000-0000-0000280C0000}"/>
    <cellStyle name="Linked Cell 51" xfId="3198" xr:uid="{00000000-0005-0000-0000-0000290C0000}"/>
    <cellStyle name="Linked Cell 52" xfId="3199" xr:uid="{00000000-0005-0000-0000-00002A0C0000}"/>
    <cellStyle name="Linked Cell 53" xfId="3200" xr:uid="{00000000-0005-0000-0000-00002B0C0000}"/>
    <cellStyle name="Linked Cell 54" xfId="3201" xr:uid="{00000000-0005-0000-0000-00002C0C0000}"/>
    <cellStyle name="Linked Cell 55" xfId="3202" xr:uid="{00000000-0005-0000-0000-00002D0C0000}"/>
    <cellStyle name="Linked Cell 56" xfId="3203" xr:uid="{00000000-0005-0000-0000-00002E0C0000}"/>
    <cellStyle name="Linked Cell 57" xfId="3204" xr:uid="{00000000-0005-0000-0000-00002F0C0000}"/>
    <cellStyle name="Linked Cell 58" xfId="3205" xr:uid="{00000000-0005-0000-0000-0000300C0000}"/>
    <cellStyle name="Linked Cell 59" xfId="3206" xr:uid="{00000000-0005-0000-0000-0000310C0000}"/>
    <cellStyle name="Linked Cell 6" xfId="3207" xr:uid="{00000000-0005-0000-0000-0000320C0000}"/>
    <cellStyle name="Linked Cell 6 2" xfId="3208" xr:uid="{00000000-0005-0000-0000-0000330C0000}"/>
    <cellStyle name="Linked Cell 6_ST_MAHUD" xfId="3209" xr:uid="{00000000-0005-0000-0000-0000340C0000}"/>
    <cellStyle name="Linked Cell 60" xfId="3210" xr:uid="{00000000-0005-0000-0000-0000350C0000}"/>
    <cellStyle name="Linked Cell 61" xfId="3211" xr:uid="{00000000-0005-0000-0000-0000360C0000}"/>
    <cellStyle name="Linked Cell 62" xfId="3212" xr:uid="{00000000-0005-0000-0000-0000370C0000}"/>
    <cellStyle name="Linked Cell 63" xfId="3213" xr:uid="{00000000-0005-0000-0000-0000380C0000}"/>
    <cellStyle name="Linked Cell 64" xfId="3214" xr:uid="{00000000-0005-0000-0000-0000390C0000}"/>
    <cellStyle name="Linked Cell 65" xfId="3215" xr:uid="{00000000-0005-0000-0000-00003A0C0000}"/>
    <cellStyle name="Linked Cell 66" xfId="3216" xr:uid="{00000000-0005-0000-0000-00003B0C0000}"/>
    <cellStyle name="Linked Cell 67" xfId="3217" xr:uid="{00000000-0005-0000-0000-00003C0C0000}"/>
    <cellStyle name="Linked Cell 68" xfId="3218" xr:uid="{00000000-0005-0000-0000-00003D0C0000}"/>
    <cellStyle name="Linked Cell 69" xfId="3219" xr:uid="{00000000-0005-0000-0000-00003E0C0000}"/>
    <cellStyle name="Linked Cell 7" xfId="3220" xr:uid="{00000000-0005-0000-0000-00003F0C0000}"/>
    <cellStyle name="Linked Cell 7 2" xfId="3221" xr:uid="{00000000-0005-0000-0000-0000400C0000}"/>
    <cellStyle name="Linked Cell 7_ST_MAHUD" xfId="3222" xr:uid="{00000000-0005-0000-0000-0000410C0000}"/>
    <cellStyle name="Linked Cell 70" xfId="3223" xr:uid="{00000000-0005-0000-0000-0000420C0000}"/>
    <cellStyle name="Linked Cell 71" xfId="3224" xr:uid="{00000000-0005-0000-0000-0000430C0000}"/>
    <cellStyle name="Linked Cell 72" xfId="3225" xr:uid="{00000000-0005-0000-0000-0000440C0000}"/>
    <cellStyle name="Linked Cell 8" xfId="3226" xr:uid="{00000000-0005-0000-0000-0000450C0000}"/>
    <cellStyle name="Linked Cell 8 2" xfId="3227" xr:uid="{00000000-0005-0000-0000-0000460C0000}"/>
    <cellStyle name="Linked Cell 8_ST_MAHUD" xfId="3228" xr:uid="{00000000-0005-0000-0000-0000470C0000}"/>
    <cellStyle name="Linked Cell 9" xfId="3229" xr:uid="{00000000-0005-0000-0000-0000480C0000}"/>
    <cellStyle name="Linked Cell 9 2" xfId="3230" xr:uid="{00000000-0005-0000-0000-0000490C0000}"/>
    <cellStyle name="Linked Cell 9_ST_MAHUD" xfId="3231" xr:uid="{00000000-0005-0000-0000-00004A0C0000}"/>
    <cellStyle name="Märkus" xfId="63" xr:uid="{00000000-0005-0000-0000-00004B0C0000}"/>
    <cellStyle name="Märkus 2" xfId="98" xr:uid="{00000000-0005-0000-0000-00004C0C0000}"/>
    <cellStyle name="Märkus 2 2" xfId="3881" xr:uid="{00000000-0005-0000-0000-00004D0C0000}"/>
    <cellStyle name="Märkus 2 3" xfId="3232" xr:uid="{00000000-0005-0000-0000-00004E0C0000}"/>
    <cellStyle name="Märkus 3" xfId="99" xr:uid="{00000000-0005-0000-0000-00004F0C0000}"/>
    <cellStyle name="Märkus 4" xfId="100" xr:uid="{00000000-0005-0000-0000-0000500C0000}"/>
    <cellStyle name="Märkus 5" xfId="3913" xr:uid="{C284B7BC-BDDA-4EB6-B320-DD128DA69708}"/>
    <cellStyle name="Neutraalne" xfId="41" xr:uid="{00000000-0005-0000-0000-0000510C0000}"/>
    <cellStyle name="Neutraalne 2" xfId="3233" xr:uid="{00000000-0005-0000-0000-0000520C0000}"/>
    <cellStyle name="Neutraalne 3" xfId="3912" xr:uid="{AFA83E5C-56A6-4F21-BC4A-60D2AEE9599F}"/>
    <cellStyle name="Neutral 10" xfId="3234" xr:uid="{00000000-0005-0000-0000-0000530C0000}"/>
    <cellStyle name="Neutral 10 2" xfId="3235" xr:uid="{00000000-0005-0000-0000-0000540C0000}"/>
    <cellStyle name="Neutral 11" xfId="3236" xr:uid="{00000000-0005-0000-0000-0000550C0000}"/>
    <cellStyle name="Neutral 11 2" xfId="3237" xr:uid="{00000000-0005-0000-0000-0000560C0000}"/>
    <cellStyle name="Neutral 12" xfId="3238" xr:uid="{00000000-0005-0000-0000-0000570C0000}"/>
    <cellStyle name="Neutral 12 2" xfId="3239" xr:uid="{00000000-0005-0000-0000-0000580C0000}"/>
    <cellStyle name="Neutral 13" xfId="3240" xr:uid="{00000000-0005-0000-0000-0000590C0000}"/>
    <cellStyle name="Neutral 13 2" xfId="3241" xr:uid="{00000000-0005-0000-0000-00005A0C0000}"/>
    <cellStyle name="Neutral 14" xfId="3242" xr:uid="{00000000-0005-0000-0000-00005B0C0000}"/>
    <cellStyle name="Neutral 14 2" xfId="3243" xr:uid="{00000000-0005-0000-0000-00005C0C0000}"/>
    <cellStyle name="Neutral 15" xfId="3244" xr:uid="{00000000-0005-0000-0000-00005D0C0000}"/>
    <cellStyle name="Neutral 15 2" xfId="3245" xr:uid="{00000000-0005-0000-0000-00005E0C0000}"/>
    <cellStyle name="Neutral 16" xfId="3246" xr:uid="{00000000-0005-0000-0000-00005F0C0000}"/>
    <cellStyle name="Neutral 16 2" xfId="3247" xr:uid="{00000000-0005-0000-0000-0000600C0000}"/>
    <cellStyle name="Neutral 17" xfId="3248" xr:uid="{00000000-0005-0000-0000-0000610C0000}"/>
    <cellStyle name="Neutral 17 2" xfId="3249" xr:uid="{00000000-0005-0000-0000-0000620C0000}"/>
    <cellStyle name="Neutral 18" xfId="3250" xr:uid="{00000000-0005-0000-0000-0000630C0000}"/>
    <cellStyle name="Neutral 18 2" xfId="3251" xr:uid="{00000000-0005-0000-0000-0000640C0000}"/>
    <cellStyle name="Neutral 2" xfId="3252" xr:uid="{00000000-0005-0000-0000-0000650C0000}"/>
    <cellStyle name="Neutral 2 2" xfId="3253" xr:uid="{00000000-0005-0000-0000-0000660C0000}"/>
    <cellStyle name="Neutral 2 3" xfId="3254" xr:uid="{00000000-0005-0000-0000-0000670C0000}"/>
    <cellStyle name="Neutral 3" xfId="3255" xr:uid="{00000000-0005-0000-0000-0000680C0000}"/>
    <cellStyle name="Neutral 3 2" xfId="3256" xr:uid="{00000000-0005-0000-0000-0000690C0000}"/>
    <cellStyle name="Neutral 4" xfId="3257" xr:uid="{00000000-0005-0000-0000-00006A0C0000}"/>
    <cellStyle name="Neutral 4 2" xfId="3258" xr:uid="{00000000-0005-0000-0000-00006B0C0000}"/>
    <cellStyle name="Neutral 5" xfId="3259" xr:uid="{00000000-0005-0000-0000-00006C0C0000}"/>
    <cellStyle name="Neutral 5 2" xfId="3260" xr:uid="{00000000-0005-0000-0000-00006D0C0000}"/>
    <cellStyle name="Neutral 6" xfId="3261" xr:uid="{00000000-0005-0000-0000-00006E0C0000}"/>
    <cellStyle name="Neutral 6 2" xfId="3262" xr:uid="{00000000-0005-0000-0000-00006F0C0000}"/>
    <cellStyle name="Neutral 7" xfId="3263" xr:uid="{00000000-0005-0000-0000-0000700C0000}"/>
    <cellStyle name="Neutral 7 2" xfId="3264" xr:uid="{00000000-0005-0000-0000-0000710C0000}"/>
    <cellStyle name="Neutral 8" xfId="3265" xr:uid="{00000000-0005-0000-0000-0000720C0000}"/>
    <cellStyle name="Neutral 8 2" xfId="3266" xr:uid="{00000000-0005-0000-0000-0000730C0000}"/>
    <cellStyle name="Neutral 9" xfId="3267" xr:uid="{00000000-0005-0000-0000-0000740C0000}"/>
    <cellStyle name="Neutral 9 2" xfId="3268" xr:uid="{00000000-0005-0000-0000-0000750C0000}"/>
    <cellStyle name="Normaallaad" xfId="0" builtinId="0"/>
    <cellStyle name="Normaallaad 10" xfId="101" xr:uid="{00000000-0005-0000-0000-0000760C0000}"/>
    <cellStyle name="Normaallaad 10 2" xfId="42" xr:uid="{00000000-0005-0000-0000-0000770C0000}"/>
    <cellStyle name="Normaallaad 10 2 2" xfId="43" xr:uid="{00000000-0005-0000-0000-0000780C0000}"/>
    <cellStyle name="Normaallaad 15" xfId="102" xr:uid="{00000000-0005-0000-0000-0000790C0000}"/>
    <cellStyle name="Normaallaad 160" xfId="103" xr:uid="{00000000-0005-0000-0000-00007A0C0000}"/>
    <cellStyle name="Normaallaad 160 2" xfId="140" xr:uid="{00000000-0005-0000-0000-00007B0C0000}"/>
    <cellStyle name="Normaallaad 2" xfId="44" xr:uid="{00000000-0005-0000-0000-00007C0C0000}"/>
    <cellStyle name="Normaallaad 2 10" xfId="104" xr:uid="{00000000-0005-0000-0000-00007D0C0000}"/>
    <cellStyle name="Normaallaad 2 2" xfId="105" xr:uid="{00000000-0005-0000-0000-00007E0C0000}"/>
    <cellStyle name="Normaallaad 2 3" xfId="141" xr:uid="{00000000-0005-0000-0000-00007F0C0000}"/>
    <cellStyle name="Normaallaad 2 4" xfId="106" xr:uid="{00000000-0005-0000-0000-0000800C0000}"/>
    <cellStyle name="Normaallaad 2 5" xfId="3867" xr:uid="{00000000-0005-0000-0000-0000810C0000}"/>
    <cellStyle name="Normaallaad 20 3" xfId="107" xr:uid="{00000000-0005-0000-0000-0000820C0000}"/>
    <cellStyle name="Normaallaad 21 4" xfId="108" xr:uid="{00000000-0005-0000-0000-0000830C0000}"/>
    <cellStyle name="Normaallaad 24 2" xfId="45" xr:uid="{00000000-0005-0000-0000-0000840C0000}"/>
    <cellStyle name="Normaallaad 24 2 2" xfId="142" xr:uid="{00000000-0005-0000-0000-0000850C0000}"/>
    <cellStyle name="Normaallaad 24 23" xfId="109" xr:uid="{00000000-0005-0000-0000-0000860C0000}"/>
    <cellStyle name="Normaallaad 24 23 2" xfId="143" xr:uid="{00000000-0005-0000-0000-0000870C0000}"/>
    <cellStyle name="Normaallaad 25 2" xfId="46" xr:uid="{00000000-0005-0000-0000-0000880C0000}"/>
    <cellStyle name="Normaallaad 25 2 2" xfId="144" xr:uid="{00000000-0005-0000-0000-0000890C0000}"/>
    <cellStyle name="Normaallaad 25 23" xfId="110" xr:uid="{00000000-0005-0000-0000-00008A0C0000}"/>
    <cellStyle name="Normaallaad 25 23 2" xfId="145" xr:uid="{00000000-0005-0000-0000-00008B0C0000}"/>
    <cellStyle name="Normaallaad 26 14" xfId="111" xr:uid="{00000000-0005-0000-0000-00008C0C0000}"/>
    <cellStyle name="Normaallaad 26 14 2" xfId="146" xr:uid="{00000000-0005-0000-0000-00008D0C0000}"/>
    <cellStyle name="Normaallaad 26 2" xfId="47" xr:uid="{00000000-0005-0000-0000-00008E0C0000}"/>
    <cellStyle name="Normaallaad 26 2 2" xfId="147" xr:uid="{00000000-0005-0000-0000-00008F0C0000}"/>
    <cellStyle name="Normaallaad 26 23" xfId="112" xr:uid="{00000000-0005-0000-0000-0000900C0000}"/>
    <cellStyle name="Normaallaad 26 23 2" xfId="148" xr:uid="{00000000-0005-0000-0000-0000910C0000}"/>
    <cellStyle name="Normaallaad 28 23" xfId="113" xr:uid="{00000000-0005-0000-0000-0000920C0000}"/>
    <cellStyle name="Normaallaad 28 23 2" xfId="149" xr:uid="{00000000-0005-0000-0000-0000930C0000}"/>
    <cellStyle name="Normaallaad 28 5" xfId="114" xr:uid="{00000000-0005-0000-0000-0000940C0000}"/>
    <cellStyle name="Normaallaad 28 5 2" xfId="150" xr:uid="{00000000-0005-0000-0000-0000950C0000}"/>
    <cellStyle name="Normaallaad 29 23" xfId="115" xr:uid="{00000000-0005-0000-0000-0000960C0000}"/>
    <cellStyle name="Normaallaad 29 23 2" xfId="151" xr:uid="{00000000-0005-0000-0000-0000970C0000}"/>
    <cellStyle name="Normaallaad 29 5" xfId="116" xr:uid="{00000000-0005-0000-0000-0000980C0000}"/>
    <cellStyle name="Normaallaad 29 5 2" xfId="152" xr:uid="{00000000-0005-0000-0000-0000990C0000}"/>
    <cellStyle name="Normaallaad 3" xfId="48" xr:uid="{00000000-0005-0000-0000-00009A0C0000}"/>
    <cellStyle name="Normaallaad 3 2" xfId="3868" xr:uid="{00000000-0005-0000-0000-00009B0C0000}"/>
    <cellStyle name="Normaallaad 3 3" xfId="117" xr:uid="{00000000-0005-0000-0000-00009C0C0000}"/>
    <cellStyle name="Normaallaad 30 23" xfId="118" xr:uid="{00000000-0005-0000-0000-00009D0C0000}"/>
    <cellStyle name="Normaallaad 30 23 2" xfId="153" xr:uid="{00000000-0005-0000-0000-00009E0C0000}"/>
    <cellStyle name="Normaallaad 30 6" xfId="119" xr:uid="{00000000-0005-0000-0000-00009F0C0000}"/>
    <cellStyle name="Normaallaad 30 6 2" xfId="154" xr:uid="{00000000-0005-0000-0000-0000A00C0000}"/>
    <cellStyle name="Normaallaad 30 7" xfId="120" xr:uid="{00000000-0005-0000-0000-0000A10C0000}"/>
    <cellStyle name="Normaallaad 30 7 2" xfId="155" xr:uid="{00000000-0005-0000-0000-0000A20C0000}"/>
    <cellStyle name="Normaallaad 31" xfId="49" xr:uid="{00000000-0005-0000-0000-0000A30C0000}"/>
    <cellStyle name="Normaallaad 32" xfId="121" xr:uid="{00000000-0005-0000-0000-0000A40C0000}"/>
    <cellStyle name="Normaallaad 36" xfId="122" xr:uid="{00000000-0005-0000-0000-0000A50C0000}"/>
    <cellStyle name="Normaallaad 38" xfId="123" xr:uid="{00000000-0005-0000-0000-0000A60C0000}"/>
    <cellStyle name="Normaallaad 4" xfId="50" xr:uid="{00000000-0005-0000-0000-0000A70C0000}"/>
    <cellStyle name="Normaallaad 4 2" xfId="51" xr:uid="{00000000-0005-0000-0000-0000A80C0000}"/>
    <cellStyle name="Normaallaad 4 3" xfId="52" xr:uid="{00000000-0005-0000-0000-0000A90C0000}"/>
    <cellStyle name="Normaallaad 4 4" xfId="3889" xr:uid="{00000000-0005-0000-0000-0000AA0C0000}"/>
    <cellStyle name="Normaallaad 4 5" xfId="3893" xr:uid="{CBFE152C-1381-4E7E-B158-B157721FBB78}"/>
    <cellStyle name="Normaallaad 44" xfId="124" xr:uid="{00000000-0005-0000-0000-0000AB0C0000}"/>
    <cellStyle name="Normaallaad 46" xfId="125" xr:uid="{00000000-0005-0000-0000-0000AC0C0000}"/>
    <cellStyle name="Normaallaad 5" xfId="53" xr:uid="{00000000-0005-0000-0000-0000AD0C0000}"/>
    <cellStyle name="Normaallaad 5 2" xfId="54" xr:uid="{00000000-0005-0000-0000-0000AE0C0000}"/>
    <cellStyle name="Normaallaad 5 3" xfId="3888" xr:uid="{00000000-0005-0000-0000-0000AF0C0000}"/>
    <cellStyle name="Normaallaad 5 4" xfId="126" xr:uid="{00000000-0005-0000-0000-0000B00C0000}"/>
    <cellStyle name="Normaallaad 6" xfId="55" xr:uid="{00000000-0005-0000-0000-0000B10C0000}"/>
    <cellStyle name="Normaallaad 6 2" xfId="134" xr:uid="{00000000-0005-0000-0000-0000B20C0000}"/>
    <cellStyle name="Normaallaad 6 3" xfId="135" xr:uid="{00000000-0005-0000-0000-0000B30C0000}"/>
    <cellStyle name="Normaallaad 6 5" xfId="127" xr:uid="{00000000-0005-0000-0000-0000B40C0000}"/>
    <cellStyle name="Normaallaad 7" xfId="56" xr:uid="{00000000-0005-0000-0000-0000B50C0000}"/>
    <cellStyle name="Normaallaad 7 2" xfId="156" xr:uid="{00000000-0005-0000-0000-0000B60C0000}"/>
    <cellStyle name="Normaallaad 7 7" xfId="57" xr:uid="{00000000-0005-0000-0000-0000B70C0000}"/>
    <cellStyle name="Normaallaad 7 7 2" xfId="58" xr:uid="{00000000-0005-0000-0000-0000B80C0000}"/>
    <cellStyle name="Normaallaad 8" xfId="59" xr:uid="{00000000-0005-0000-0000-0000B90C0000}"/>
    <cellStyle name="Normaallaad 9" xfId="128" xr:uid="{00000000-0005-0000-0000-0000BA0C0000}"/>
    <cellStyle name="Normaallaad 9 2" xfId="157" xr:uid="{00000000-0005-0000-0000-0000BB0C0000}"/>
    <cellStyle name="Normaallaad 9 8" xfId="60" xr:uid="{00000000-0005-0000-0000-0000BC0C0000}"/>
    <cellStyle name="Normal 10" xfId="3269" xr:uid="{00000000-0005-0000-0000-0000BE0C0000}"/>
    <cellStyle name="Normal 10 2" xfId="3270" xr:uid="{00000000-0005-0000-0000-0000BF0C0000}"/>
    <cellStyle name="Normal 10 2 2" xfId="3271" xr:uid="{00000000-0005-0000-0000-0000C00C0000}"/>
    <cellStyle name="Normal 10 3" xfId="3272" xr:uid="{00000000-0005-0000-0000-0000C10C0000}"/>
    <cellStyle name="Normal 10_Sheet1" xfId="3273" xr:uid="{00000000-0005-0000-0000-0000C20C0000}"/>
    <cellStyle name="Normal 100" xfId="3891" xr:uid="{7C5CEDAB-3A6D-4C96-A5D1-047479DB93DE}"/>
    <cellStyle name="Normal 11" xfId="3274" xr:uid="{00000000-0005-0000-0000-0000C30C0000}"/>
    <cellStyle name="Normal 11 2" xfId="3275" xr:uid="{00000000-0005-0000-0000-0000C40C0000}"/>
    <cellStyle name="Normal 11 2 2" xfId="3276" xr:uid="{00000000-0005-0000-0000-0000C50C0000}"/>
    <cellStyle name="Normal 11 3" xfId="3277" xr:uid="{00000000-0005-0000-0000-0000C60C0000}"/>
    <cellStyle name="Normal 11_Sheet1" xfId="3278" xr:uid="{00000000-0005-0000-0000-0000C70C0000}"/>
    <cellStyle name="Normal 12" xfId="3279" xr:uid="{00000000-0005-0000-0000-0000C80C0000}"/>
    <cellStyle name="Normal 12 2" xfId="3280" xr:uid="{00000000-0005-0000-0000-0000C90C0000}"/>
    <cellStyle name="Normal 12 2 2" xfId="3281" xr:uid="{00000000-0005-0000-0000-0000CA0C0000}"/>
    <cellStyle name="Normal 12 3" xfId="3282" xr:uid="{00000000-0005-0000-0000-0000CB0C0000}"/>
    <cellStyle name="Normal 12_Sheet1" xfId="3283" xr:uid="{00000000-0005-0000-0000-0000CC0C0000}"/>
    <cellStyle name="Normal 13" xfId="3284" xr:uid="{00000000-0005-0000-0000-0000CD0C0000}"/>
    <cellStyle name="Normal 13 2" xfId="3285" xr:uid="{00000000-0005-0000-0000-0000CE0C0000}"/>
    <cellStyle name="Normal 13 2 2" xfId="3286" xr:uid="{00000000-0005-0000-0000-0000CF0C0000}"/>
    <cellStyle name="Normal 13 3" xfId="3287" xr:uid="{00000000-0005-0000-0000-0000D00C0000}"/>
    <cellStyle name="Normal 13_Sheet1" xfId="3288" xr:uid="{00000000-0005-0000-0000-0000D10C0000}"/>
    <cellStyle name="Normal 14" xfId="3289" xr:uid="{00000000-0005-0000-0000-0000D20C0000}"/>
    <cellStyle name="Normal 14 2" xfId="3290" xr:uid="{00000000-0005-0000-0000-0000D30C0000}"/>
    <cellStyle name="Normal 14 2 2" xfId="3291" xr:uid="{00000000-0005-0000-0000-0000D40C0000}"/>
    <cellStyle name="Normal 14 3" xfId="3292" xr:uid="{00000000-0005-0000-0000-0000D50C0000}"/>
    <cellStyle name="Normal 14_Sheet1" xfId="3293" xr:uid="{00000000-0005-0000-0000-0000D60C0000}"/>
    <cellStyle name="Normal 15" xfId="3294" xr:uid="{00000000-0005-0000-0000-0000D70C0000}"/>
    <cellStyle name="Normal 15 2" xfId="3295" xr:uid="{00000000-0005-0000-0000-0000D80C0000}"/>
    <cellStyle name="Normal 15 2 2" xfId="3296" xr:uid="{00000000-0005-0000-0000-0000D90C0000}"/>
    <cellStyle name="Normal 15 3" xfId="3297" xr:uid="{00000000-0005-0000-0000-0000DA0C0000}"/>
    <cellStyle name="Normal 15_Sheet1" xfId="3298" xr:uid="{00000000-0005-0000-0000-0000DB0C0000}"/>
    <cellStyle name="Normal 16" xfId="3299" xr:uid="{00000000-0005-0000-0000-0000DC0C0000}"/>
    <cellStyle name="Normal 16 2" xfId="3300" xr:uid="{00000000-0005-0000-0000-0000DD0C0000}"/>
    <cellStyle name="Normal 16 2 2" xfId="3301" xr:uid="{00000000-0005-0000-0000-0000DE0C0000}"/>
    <cellStyle name="Normal 16 3" xfId="3302" xr:uid="{00000000-0005-0000-0000-0000DF0C0000}"/>
    <cellStyle name="Normal 16_Sheet1" xfId="3303" xr:uid="{00000000-0005-0000-0000-0000E00C0000}"/>
    <cellStyle name="Normal 17" xfId="3304" xr:uid="{00000000-0005-0000-0000-0000E10C0000}"/>
    <cellStyle name="Normal 17 2" xfId="3305" xr:uid="{00000000-0005-0000-0000-0000E20C0000}"/>
    <cellStyle name="Normal 17 2 2" xfId="3306" xr:uid="{00000000-0005-0000-0000-0000E30C0000}"/>
    <cellStyle name="Normal 17 3" xfId="3307" xr:uid="{00000000-0005-0000-0000-0000E40C0000}"/>
    <cellStyle name="Normal 17_Sheet1" xfId="3308" xr:uid="{00000000-0005-0000-0000-0000E50C0000}"/>
    <cellStyle name="Normal 18" xfId="3309" xr:uid="{00000000-0005-0000-0000-0000E60C0000}"/>
    <cellStyle name="Normal 18 2" xfId="3310" xr:uid="{00000000-0005-0000-0000-0000E70C0000}"/>
    <cellStyle name="Normal 18 2 2" xfId="3311" xr:uid="{00000000-0005-0000-0000-0000E80C0000}"/>
    <cellStyle name="Normal 18 3" xfId="3312" xr:uid="{00000000-0005-0000-0000-0000E90C0000}"/>
    <cellStyle name="Normal 18_Sheet1" xfId="3313" xr:uid="{00000000-0005-0000-0000-0000EA0C0000}"/>
    <cellStyle name="Normal 19" xfId="3314" xr:uid="{00000000-0005-0000-0000-0000EB0C0000}"/>
    <cellStyle name="Normal 19 2" xfId="3315" xr:uid="{00000000-0005-0000-0000-0000EC0C0000}"/>
    <cellStyle name="Normal 19 2 2" xfId="3316" xr:uid="{00000000-0005-0000-0000-0000ED0C0000}"/>
    <cellStyle name="Normal 19 3" xfId="3317" xr:uid="{00000000-0005-0000-0000-0000EE0C0000}"/>
    <cellStyle name="Normal 19_Sheet1" xfId="3318" xr:uid="{00000000-0005-0000-0000-0000EF0C0000}"/>
    <cellStyle name="Normal 2" xfId="61" xr:uid="{00000000-0005-0000-0000-0000F00C0000}"/>
    <cellStyle name="Normal 2 2" xfId="62" xr:uid="{00000000-0005-0000-0000-0000F10C0000}"/>
    <cellStyle name="Normal 2 2 2" xfId="3319" xr:uid="{00000000-0005-0000-0000-0000F20C0000}"/>
    <cellStyle name="Normal 2 3" xfId="136" xr:uid="{00000000-0005-0000-0000-0000F30C0000}"/>
    <cellStyle name="Normal 2 3 2" xfId="137" xr:uid="{00000000-0005-0000-0000-0000F40C0000}"/>
    <cellStyle name="Normal 2 3 2 2" xfId="3882" xr:uid="{00000000-0005-0000-0000-0000F50C0000}"/>
    <cellStyle name="Normal 2 3 2 3" xfId="163" xr:uid="{00000000-0005-0000-0000-0000F60C0000}"/>
    <cellStyle name="Normal 2 4" xfId="138" xr:uid="{00000000-0005-0000-0000-0000F70C0000}"/>
    <cellStyle name="Normal 2 4 2" xfId="3883" xr:uid="{00000000-0005-0000-0000-0000F80C0000}"/>
    <cellStyle name="Normal 2 4 3" xfId="3320" xr:uid="{00000000-0005-0000-0000-0000F90C0000}"/>
    <cellStyle name="Normal 2 5" xfId="162" xr:uid="{00000000-0005-0000-0000-0000FA0C0000}"/>
    <cellStyle name="Normal 2 5 2" xfId="3890" xr:uid="{00000000-0005-0000-0000-0000FB0C0000}"/>
    <cellStyle name="Normal 2_Sheet1" xfId="3321" xr:uid="{00000000-0005-0000-0000-0000FC0C0000}"/>
    <cellStyle name="Normal 20" xfId="3322" xr:uid="{00000000-0005-0000-0000-0000FD0C0000}"/>
    <cellStyle name="Normal 20 2" xfId="3323" xr:uid="{00000000-0005-0000-0000-0000FE0C0000}"/>
    <cellStyle name="Normal 20 2 2" xfId="3324" xr:uid="{00000000-0005-0000-0000-0000FF0C0000}"/>
    <cellStyle name="Normal 20 3" xfId="3325" xr:uid="{00000000-0005-0000-0000-0000000D0000}"/>
    <cellStyle name="Normal 20_Sheet1" xfId="3326" xr:uid="{00000000-0005-0000-0000-0000010D0000}"/>
    <cellStyle name="Normal 21" xfId="3327" xr:uid="{00000000-0005-0000-0000-0000020D0000}"/>
    <cellStyle name="Normal 21 2" xfId="3328" xr:uid="{00000000-0005-0000-0000-0000030D0000}"/>
    <cellStyle name="Normal 22" xfId="3329" xr:uid="{00000000-0005-0000-0000-0000040D0000}"/>
    <cellStyle name="Normal 22 2" xfId="3330" xr:uid="{00000000-0005-0000-0000-0000050D0000}"/>
    <cellStyle name="Normal 23" xfId="3331" xr:uid="{00000000-0005-0000-0000-0000060D0000}"/>
    <cellStyle name="Normal 23 2" xfId="3332" xr:uid="{00000000-0005-0000-0000-0000070D0000}"/>
    <cellStyle name="Normal 24" xfId="3333" xr:uid="{00000000-0005-0000-0000-0000080D0000}"/>
    <cellStyle name="Normal 24 2" xfId="3334" xr:uid="{00000000-0005-0000-0000-0000090D0000}"/>
    <cellStyle name="Normal 24 3" xfId="3335" xr:uid="{00000000-0005-0000-0000-00000A0D0000}"/>
    <cellStyle name="Normal 24 3 2" xfId="3336" xr:uid="{00000000-0005-0000-0000-00000B0D0000}"/>
    <cellStyle name="Normal 24 3 3" xfId="3337" xr:uid="{00000000-0005-0000-0000-00000C0D0000}"/>
    <cellStyle name="Normal 25" xfId="3338" xr:uid="{00000000-0005-0000-0000-00000D0D0000}"/>
    <cellStyle name="Normal 25 2" xfId="3339" xr:uid="{00000000-0005-0000-0000-00000E0D0000}"/>
    <cellStyle name="Normal 25 3" xfId="3340" xr:uid="{00000000-0005-0000-0000-00000F0D0000}"/>
    <cellStyle name="Normal 25 3 2" xfId="3341" xr:uid="{00000000-0005-0000-0000-0000100D0000}"/>
    <cellStyle name="Normal 25 3 3" xfId="3342" xr:uid="{00000000-0005-0000-0000-0000110D0000}"/>
    <cellStyle name="Normal 26" xfId="3343" xr:uid="{00000000-0005-0000-0000-0000120D0000}"/>
    <cellStyle name="Normal 26 2" xfId="3344" xr:uid="{00000000-0005-0000-0000-0000130D0000}"/>
    <cellStyle name="Normal 26 3" xfId="3345" xr:uid="{00000000-0005-0000-0000-0000140D0000}"/>
    <cellStyle name="Normal 27" xfId="3346" xr:uid="{00000000-0005-0000-0000-0000150D0000}"/>
    <cellStyle name="Normal 27 2" xfId="3347" xr:uid="{00000000-0005-0000-0000-0000160D0000}"/>
    <cellStyle name="Normal 27 3" xfId="3348" xr:uid="{00000000-0005-0000-0000-0000170D0000}"/>
    <cellStyle name="Normal 28" xfId="3349" xr:uid="{00000000-0005-0000-0000-0000180D0000}"/>
    <cellStyle name="Normal 29" xfId="3350" xr:uid="{00000000-0005-0000-0000-0000190D0000}"/>
    <cellStyle name="Normal 3" xfId="129" xr:uid="{00000000-0005-0000-0000-00001A0D0000}"/>
    <cellStyle name="Normal 3 2" xfId="164" xr:uid="{00000000-0005-0000-0000-00001B0D0000}"/>
    <cellStyle name="Normal 3 2 2" xfId="3352" xr:uid="{00000000-0005-0000-0000-00001C0D0000}"/>
    <cellStyle name="Normal 3 3" xfId="3353" xr:uid="{00000000-0005-0000-0000-00001D0D0000}"/>
    <cellStyle name="Normal 3 4" xfId="3351" xr:uid="{00000000-0005-0000-0000-00001E0D0000}"/>
    <cellStyle name="Normal 3_Sheet1" xfId="3354" xr:uid="{00000000-0005-0000-0000-00001F0D0000}"/>
    <cellStyle name="Normal 30" xfId="3355" xr:uid="{00000000-0005-0000-0000-0000200D0000}"/>
    <cellStyle name="Normal 31" xfId="3356" xr:uid="{00000000-0005-0000-0000-0000210D0000}"/>
    <cellStyle name="Normal 32" xfId="3357" xr:uid="{00000000-0005-0000-0000-0000220D0000}"/>
    <cellStyle name="Normal 33" xfId="3358" xr:uid="{00000000-0005-0000-0000-0000230D0000}"/>
    <cellStyle name="Normal 34" xfId="3359" xr:uid="{00000000-0005-0000-0000-0000240D0000}"/>
    <cellStyle name="Normal 35" xfId="3360" xr:uid="{00000000-0005-0000-0000-0000250D0000}"/>
    <cellStyle name="Normal 36" xfId="3361" xr:uid="{00000000-0005-0000-0000-0000260D0000}"/>
    <cellStyle name="Normal 37" xfId="3362" xr:uid="{00000000-0005-0000-0000-0000270D0000}"/>
    <cellStyle name="Normal 38" xfId="3363" xr:uid="{00000000-0005-0000-0000-0000280D0000}"/>
    <cellStyle name="Normal 39" xfId="3364" xr:uid="{00000000-0005-0000-0000-0000290D0000}"/>
    <cellStyle name="Normal 4" xfId="158" xr:uid="{00000000-0005-0000-0000-00002A0D0000}"/>
    <cellStyle name="Normal 4 2" xfId="3366" xr:uid="{00000000-0005-0000-0000-00002B0D0000}"/>
    <cellStyle name="Normal 4 2 2" xfId="3367" xr:uid="{00000000-0005-0000-0000-00002C0D0000}"/>
    <cellStyle name="Normal 4 3" xfId="3884" xr:uid="{00000000-0005-0000-0000-00002D0D0000}"/>
    <cellStyle name="Normal 4 4" xfId="3365" xr:uid="{00000000-0005-0000-0000-00002E0D0000}"/>
    <cellStyle name="Normal 40" xfId="3368" xr:uid="{00000000-0005-0000-0000-00002F0D0000}"/>
    <cellStyle name="Normal 41" xfId="3369" xr:uid="{00000000-0005-0000-0000-0000300D0000}"/>
    <cellStyle name="Normal 42" xfId="3370" xr:uid="{00000000-0005-0000-0000-0000310D0000}"/>
    <cellStyle name="Normal 43" xfId="3371" xr:uid="{00000000-0005-0000-0000-0000320D0000}"/>
    <cellStyle name="Normal 44" xfId="3372" xr:uid="{00000000-0005-0000-0000-0000330D0000}"/>
    <cellStyle name="Normal 44 2" xfId="3373" xr:uid="{00000000-0005-0000-0000-0000340D0000}"/>
    <cellStyle name="Normal 45" xfId="3374" xr:uid="{00000000-0005-0000-0000-0000350D0000}"/>
    <cellStyle name="Normal 45 2" xfId="3375" xr:uid="{00000000-0005-0000-0000-0000360D0000}"/>
    <cellStyle name="Normal 46" xfId="3376" xr:uid="{00000000-0005-0000-0000-0000370D0000}"/>
    <cellStyle name="Normal 46 2" xfId="3377" xr:uid="{00000000-0005-0000-0000-0000380D0000}"/>
    <cellStyle name="Normal 47" xfId="3378" xr:uid="{00000000-0005-0000-0000-0000390D0000}"/>
    <cellStyle name="Normal 47 2" xfId="3379" xr:uid="{00000000-0005-0000-0000-00003A0D0000}"/>
    <cellStyle name="Normal 48" xfId="3380" xr:uid="{00000000-0005-0000-0000-00003B0D0000}"/>
    <cellStyle name="Normal 48 2" xfId="3381" xr:uid="{00000000-0005-0000-0000-00003C0D0000}"/>
    <cellStyle name="Normal 49" xfId="3382" xr:uid="{00000000-0005-0000-0000-00003D0D0000}"/>
    <cellStyle name="Normal 49 2" xfId="3383" xr:uid="{00000000-0005-0000-0000-00003E0D0000}"/>
    <cellStyle name="Normal 5" xfId="3384" xr:uid="{00000000-0005-0000-0000-00003F0D0000}"/>
    <cellStyle name="Normal 5 2" xfId="3385" xr:uid="{00000000-0005-0000-0000-0000400D0000}"/>
    <cellStyle name="Normal 5 2 2" xfId="3386" xr:uid="{00000000-0005-0000-0000-0000410D0000}"/>
    <cellStyle name="Normal 5 3" xfId="3387" xr:uid="{00000000-0005-0000-0000-0000420D0000}"/>
    <cellStyle name="Normal 5_Sheet1" xfId="3388" xr:uid="{00000000-0005-0000-0000-0000430D0000}"/>
    <cellStyle name="Normal 50" xfId="3389" xr:uid="{00000000-0005-0000-0000-0000440D0000}"/>
    <cellStyle name="Normal 50 2" xfId="3390" xr:uid="{00000000-0005-0000-0000-0000450D0000}"/>
    <cellStyle name="Normal 51" xfId="3391" xr:uid="{00000000-0005-0000-0000-0000460D0000}"/>
    <cellStyle name="Normal 51 2" xfId="3392" xr:uid="{00000000-0005-0000-0000-0000470D0000}"/>
    <cellStyle name="Normal 52" xfId="3393" xr:uid="{00000000-0005-0000-0000-0000480D0000}"/>
    <cellStyle name="Normal 52 2" xfId="3394" xr:uid="{00000000-0005-0000-0000-0000490D0000}"/>
    <cellStyle name="Normal 53" xfId="3395" xr:uid="{00000000-0005-0000-0000-00004A0D0000}"/>
    <cellStyle name="Normal 53 2" xfId="3396" xr:uid="{00000000-0005-0000-0000-00004B0D0000}"/>
    <cellStyle name="Normal 54" xfId="3397" xr:uid="{00000000-0005-0000-0000-00004C0D0000}"/>
    <cellStyle name="Normal 54 2" xfId="3398" xr:uid="{00000000-0005-0000-0000-00004D0D0000}"/>
    <cellStyle name="Normal 55" xfId="3399" xr:uid="{00000000-0005-0000-0000-00004E0D0000}"/>
    <cellStyle name="Normal 55 2" xfId="3400" xr:uid="{00000000-0005-0000-0000-00004F0D0000}"/>
    <cellStyle name="Normal 56" xfId="3401" xr:uid="{00000000-0005-0000-0000-0000500D0000}"/>
    <cellStyle name="Normal 56 2" xfId="3402" xr:uid="{00000000-0005-0000-0000-0000510D0000}"/>
    <cellStyle name="Normal 57" xfId="3403" xr:uid="{00000000-0005-0000-0000-0000520D0000}"/>
    <cellStyle name="Normal 57 2" xfId="3404" xr:uid="{00000000-0005-0000-0000-0000530D0000}"/>
    <cellStyle name="Normal 58" xfId="3405" xr:uid="{00000000-0005-0000-0000-0000540D0000}"/>
    <cellStyle name="Normal 58 2" xfId="3406" xr:uid="{00000000-0005-0000-0000-0000550D0000}"/>
    <cellStyle name="Normal 59" xfId="3407" xr:uid="{00000000-0005-0000-0000-0000560D0000}"/>
    <cellStyle name="Normal 6" xfId="3408" xr:uid="{00000000-0005-0000-0000-0000570D0000}"/>
    <cellStyle name="Normal 6 2" xfId="3409" xr:uid="{00000000-0005-0000-0000-0000580D0000}"/>
    <cellStyle name="Normal 6 2 2" xfId="3410" xr:uid="{00000000-0005-0000-0000-0000590D0000}"/>
    <cellStyle name="Normal 6 3" xfId="3411" xr:uid="{00000000-0005-0000-0000-00005A0D0000}"/>
    <cellStyle name="Normal 6_Sheet1" xfId="3412" xr:uid="{00000000-0005-0000-0000-00005B0D0000}"/>
    <cellStyle name="Normal 60" xfId="3413" xr:uid="{00000000-0005-0000-0000-00005C0D0000}"/>
    <cellStyle name="Normal 61" xfId="3414" xr:uid="{00000000-0005-0000-0000-00005D0D0000}"/>
    <cellStyle name="Normal 62" xfId="3415" xr:uid="{00000000-0005-0000-0000-00005E0D0000}"/>
    <cellStyle name="Normal 63" xfId="3416" xr:uid="{00000000-0005-0000-0000-00005F0D0000}"/>
    <cellStyle name="Normal 64" xfId="3417" xr:uid="{00000000-0005-0000-0000-0000600D0000}"/>
    <cellStyle name="Normal 65" xfId="3418" xr:uid="{00000000-0005-0000-0000-0000610D0000}"/>
    <cellStyle name="Normal 66" xfId="3419" xr:uid="{00000000-0005-0000-0000-0000620D0000}"/>
    <cellStyle name="Normal 67" xfId="3420" xr:uid="{00000000-0005-0000-0000-0000630D0000}"/>
    <cellStyle name="Normal 68" xfId="3421" xr:uid="{00000000-0005-0000-0000-0000640D0000}"/>
    <cellStyle name="Normal 69" xfId="3422" xr:uid="{00000000-0005-0000-0000-0000650D0000}"/>
    <cellStyle name="Normal 7" xfId="3423" xr:uid="{00000000-0005-0000-0000-0000660D0000}"/>
    <cellStyle name="Normal 7 2" xfId="3424" xr:uid="{00000000-0005-0000-0000-0000670D0000}"/>
    <cellStyle name="Normal 7 2 2" xfId="3425" xr:uid="{00000000-0005-0000-0000-0000680D0000}"/>
    <cellStyle name="Normal 7 3" xfId="3426" xr:uid="{00000000-0005-0000-0000-0000690D0000}"/>
    <cellStyle name="Normal 7_Sheet1" xfId="3427" xr:uid="{00000000-0005-0000-0000-00006A0D0000}"/>
    <cellStyle name="Normal 70" xfId="3428" xr:uid="{00000000-0005-0000-0000-00006B0D0000}"/>
    <cellStyle name="Normal 71" xfId="3429" xr:uid="{00000000-0005-0000-0000-00006C0D0000}"/>
    <cellStyle name="Normal 72" xfId="3430" xr:uid="{00000000-0005-0000-0000-00006D0D0000}"/>
    <cellStyle name="Normal 73" xfId="3431" xr:uid="{00000000-0005-0000-0000-00006E0D0000}"/>
    <cellStyle name="Normal 74" xfId="3432" xr:uid="{00000000-0005-0000-0000-00006F0D0000}"/>
    <cellStyle name="Normal 75" xfId="3433" xr:uid="{00000000-0005-0000-0000-0000700D0000}"/>
    <cellStyle name="Normal 76" xfId="3434" xr:uid="{00000000-0005-0000-0000-0000710D0000}"/>
    <cellStyle name="Normal 77" xfId="3435" xr:uid="{00000000-0005-0000-0000-0000720D0000}"/>
    <cellStyle name="Normal 78" xfId="3436" xr:uid="{00000000-0005-0000-0000-0000730D0000}"/>
    <cellStyle name="Normal 79" xfId="3437" xr:uid="{00000000-0005-0000-0000-0000740D0000}"/>
    <cellStyle name="Normal 8" xfId="3438" xr:uid="{00000000-0005-0000-0000-0000750D0000}"/>
    <cellStyle name="Normal 8 2" xfId="3439" xr:uid="{00000000-0005-0000-0000-0000760D0000}"/>
    <cellStyle name="Normal 8 2 2" xfId="3440" xr:uid="{00000000-0005-0000-0000-0000770D0000}"/>
    <cellStyle name="Normal 8 3" xfId="3441" xr:uid="{00000000-0005-0000-0000-0000780D0000}"/>
    <cellStyle name="Normal 8_Sheet1" xfId="3442" xr:uid="{00000000-0005-0000-0000-0000790D0000}"/>
    <cellStyle name="Normal 80" xfId="3443" xr:uid="{00000000-0005-0000-0000-00007A0D0000}"/>
    <cellStyle name="Normal 81" xfId="3444" xr:uid="{00000000-0005-0000-0000-00007B0D0000}"/>
    <cellStyle name="Normal 82" xfId="3445" xr:uid="{00000000-0005-0000-0000-00007C0D0000}"/>
    <cellStyle name="Normal 83" xfId="3446" xr:uid="{00000000-0005-0000-0000-00007D0D0000}"/>
    <cellStyle name="Normal 84" xfId="3447" xr:uid="{00000000-0005-0000-0000-00007E0D0000}"/>
    <cellStyle name="Normal 85" xfId="3448" xr:uid="{00000000-0005-0000-0000-00007F0D0000}"/>
    <cellStyle name="Normal 86" xfId="3449" xr:uid="{00000000-0005-0000-0000-0000800D0000}"/>
    <cellStyle name="Normal 87" xfId="3450" xr:uid="{00000000-0005-0000-0000-0000810D0000}"/>
    <cellStyle name="Normal 88" xfId="3451" xr:uid="{00000000-0005-0000-0000-0000820D0000}"/>
    <cellStyle name="Normal 89" xfId="3452" xr:uid="{00000000-0005-0000-0000-0000830D0000}"/>
    <cellStyle name="Normal 9" xfId="3453" xr:uid="{00000000-0005-0000-0000-0000840D0000}"/>
    <cellStyle name="Normal 9 2" xfId="3454" xr:uid="{00000000-0005-0000-0000-0000850D0000}"/>
    <cellStyle name="Normal 9 2 2" xfId="3455" xr:uid="{00000000-0005-0000-0000-0000860D0000}"/>
    <cellStyle name="Normal 9 3" xfId="3456" xr:uid="{00000000-0005-0000-0000-0000870D0000}"/>
    <cellStyle name="Normal 9_Sheet1" xfId="3457" xr:uid="{00000000-0005-0000-0000-0000880D0000}"/>
    <cellStyle name="Normal 90" xfId="3458" xr:uid="{00000000-0005-0000-0000-0000890D0000}"/>
    <cellStyle name="Normal 91" xfId="3459" xr:uid="{00000000-0005-0000-0000-00008A0D0000}"/>
    <cellStyle name="Normal 92" xfId="3460" xr:uid="{00000000-0005-0000-0000-00008B0D0000}"/>
    <cellStyle name="Normal 93" xfId="3461" xr:uid="{00000000-0005-0000-0000-00008C0D0000}"/>
    <cellStyle name="Normal 94" xfId="3462" xr:uid="{00000000-0005-0000-0000-00008D0D0000}"/>
    <cellStyle name="Normal 95" xfId="3463" xr:uid="{00000000-0005-0000-0000-00008E0D0000}"/>
    <cellStyle name="Normal 96" xfId="3464" xr:uid="{00000000-0005-0000-0000-00008F0D0000}"/>
    <cellStyle name="Normal 97" xfId="161" xr:uid="{00000000-0005-0000-0000-0000900D0000}"/>
    <cellStyle name="Normal 97 2" xfId="3900" xr:uid="{8B66CEF3-2CEC-452F-B1EA-934796C1AA97}"/>
    <cellStyle name="Normal 98" xfId="3886" xr:uid="{00000000-0005-0000-0000-0000910D0000}"/>
    <cellStyle name="Normal 99" xfId="3887" xr:uid="{00000000-0005-0000-0000-0000920D0000}"/>
    <cellStyle name="Note 10" xfId="3465" xr:uid="{00000000-0005-0000-0000-0000930D0000}"/>
    <cellStyle name="Note 10 2" xfId="3466" xr:uid="{00000000-0005-0000-0000-0000940D0000}"/>
    <cellStyle name="Note 10_ST_MAHUD" xfId="3467" xr:uid="{00000000-0005-0000-0000-0000950D0000}"/>
    <cellStyle name="Note 11" xfId="3468" xr:uid="{00000000-0005-0000-0000-0000960D0000}"/>
    <cellStyle name="Note 11 2" xfId="3469" xr:uid="{00000000-0005-0000-0000-0000970D0000}"/>
    <cellStyle name="Note 11_ST_MAHUD" xfId="3470" xr:uid="{00000000-0005-0000-0000-0000980D0000}"/>
    <cellStyle name="Note 12" xfId="3471" xr:uid="{00000000-0005-0000-0000-0000990D0000}"/>
    <cellStyle name="Note 12 2" xfId="3472" xr:uid="{00000000-0005-0000-0000-00009A0D0000}"/>
    <cellStyle name="Note 12_ST_MAHUD" xfId="3473" xr:uid="{00000000-0005-0000-0000-00009B0D0000}"/>
    <cellStyle name="Note 13" xfId="3474" xr:uid="{00000000-0005-0000-0000-00009C0D0000}"/>
    <cellStyle name="Note 13 2" xfId="3475" xr:uid="{00000000-0005-0000-0000-00009D0D0000}"/>
    <cellStyle name="Note 13_ST_MAHUD" xfId="3476" xr:uid="{00000000-0005-0000-0000-00009E0D0000}"/>
    <cellStyle name="Note 14" xfId="3477" xr:uid="{00000000-0005-0000-0000-00009F0D0000}"/>
    <cellStyle name="Note 14 2" xfId="3478" xr:uid="{00000000-0005-0000-0000-0000A00D0000}"/>
    <cellStyle name="Note 14_ST_MAHUD" xfId="3479" xr:uid="{00000000-0005-0000-0000-0000A10D0000}"/>
    <cellStyle name="Note 15" xfId="3480" xr:uid="{00000000-0005-0000-0000-0000A20D0000}"/>
    <cellStyle name="Note 15 2" xfId="3481" xr:uid="{00000000-0005-0000-0000-0000A30D0000}"/>
    <cellStyle name="Note 15_ST_MAHUD" xfId="3482" xr:uid="{00000000-0005-0000-0000-0000A40D0000}"/>
    <cellStyle name="Note 16" xfId="3483" xr:uid="{00000000-0005-0000-0000-0000A50D0000}"/>
    <cellStyle name="Note 16 2" xfId="3484" xr:uid="{00000000-0005-0000-0000-0000A60D0000}"/>
    <cellStyle name="Note 16_ST_MAHUD" xfId="3485" xr:uid="{00000000-0005-0000-0000-0000A70D0000}"/>
    <cellStyle name="Note 17" xfId="3486" xr:uid="{00000000-0005-0000-0000-0000A80D0000}"/>
    <cellStyle name="Note 17 2" xfId="3487" xr:uid="{00000000-0005-0000-0000-0000A90D0000}"/>
    <cellStyle name="Note 17_ST_MAHUD" xfId="3488" xr:uid="{00000000-0005-0000-0000-0000AA0D0000}"/>
    <cellStyle name="Note 18" xfId="3489" xr:uid="{00000000-0005-0000-0000-0000AB0D0000}"/>
    <cellStyle name="Note 18 2" xfId="3490" xr:uid="{00000000-0005-0000-0000-0000AC0D0000}"/>
    <cellStyle name="Note 18_ST_MAHUD" xfId="3491" xr:uid="{00000000-0005-0000-0000-0000AD0D0000}"/>
    <cellStyle name="Note 19" xfId="3492" xr:uid="{00000000-0005-0000-0000-0000AE0D0000}"/>
    <cellStyle name="Note 2" xfId="3493" xr:uid="{00000000-0005-0000-0000-0000AF0D0000}"/>
    <cellStyle name="Note 2 2" xfId="3494" xr:uid="{00000000-0005-0000-0000-0000B00D0000}"/>
    <cellStyle name="Note 2 3" xfId="3495" xr:uid="{00000000-0005-0000-0000-0000B10D0000}"/>
    <cellStyle name="Note 2 4" xfId="3496" xr:uid="{00000000-0005-0000-0000-0000B20D0000}"/>
    <cellStyle name="Note 2_ST_MAHUD" xfId="3497" xr:uid="{00000000-0005-0000-0000-0000B30D0000}"/>
    <cellStyle name="Note 20" xfId="3498" xr:uid="{00000000-0005-0000-0000-0000B40D0000}"/>
    <cellStyle name="Note 21" xfId="3499" xr:uid="{00000000-0005-0000-0000-0000B50D0000}"/>
    <cellStyle name="Note 22" xfId="3500" xr:uid="{00000000-0005-0000-0000-0000B60D0000}"/>
    <cellStyle name="Note 23" xfId="3501" xr:uid="{00000000-0005-0000-0000-0000B70D0000}"/>
    <cellStyle name="Note 24" xfId="3502" xr:uid="{00000000-0005-0000-0000-0000B80D0000}"/>
    <cellStyle name="Note 25" xfId="3503" xr:uid="{00000000-0005-0000-0000-0000B90D0000}"/>
    <cellStyle name="Note 26" xfId="3504" xr:uid="{00000000-0005-0000-0000-0000BA0D0000}"/>
    <cellStyle name="Note 27" xfId="3505" xr:uid="{00000000-0005-0000-0000-0000BB0D0000}"/>
    <cellStyle name="Note 28" xfId="3506" xr:uid="{00000000-0005-0000-0000-0000BC0D0000}"/>
    <cellStyle name="Note 29" xfId="3507" xr:uid="{00000000-0005-0000-0000-0000BD0D0000}"/>
    <cellStyle name="Note 3" xfId="3508" xr:uid="{00000000-0005-0000-0000-0000BE0D0000}"/>
    <cellStyle name="Note 3 2" xfId="3509" xr:uid="{00000000-0005-0000-0000-0000BF0D0000}"/>
    <cellStyle name="Note 3_ST_MAHUD" xfId="3510" xr:uid="{00000000-0005-0000-0000-0000C00D0000}"/>
    <cellStyle name="Note 30" xfId="3511" xr:uid="{00000000-0005-0000-0000-0000C10D0000}"/>
    <cellStyle name="Note 31" xfId="3512" xr:uid="{00000000-0005-0000-0000-0000C20D0000}"/>
    <cellStyle name="Note 32" xfId="3513" xr:uid="{00000000-0005-0000-0000-0000C30D0000}"/>
    <cellStyle name="Note 33" xfId="3514" xr:uid="{00000000-0005-0000-0000-0000C40D0000}"/>
    <cellStyle name="Note 34" xfId="3515" xr:uid="{00000000-0005-0000-0000-0000C50D0000}"/>
    <cellStyle name="Note 35" xfId="3516" xr:uid="{00000000-0005-0000-0000-0000C60D0000}"/>
    <cellStyle name="Note 36" xfId="3517" xr:uid="{00000000-0005-0000-0000-0000C70D0000}"/>
    <cellStyle name="Note 37" xfId="3518" xr:uid="{00000000-0005-0000-0000-0000C80D0000}"/>
    <cellStyle name="Note 38" xfId="3519" xr:uid="{00000000-0005-0000-0000-0000C90D0000}"/>
    <cellStyle name="Note 39" xfId="3520" xr:uid="{00000000-0005-0000-0000-0000CA0D0000}"/>
    <cellStyle name="Note 4" xfId="3521" xr:uid="{00000000-0005-0000-0000-0000CB0D0000}"/>
    <cellStyle name="Note 4 2" xfId="3522" xr:uid="{00000000-0005-0000-0000-0000CC0D0000}"/>
    <cellStyle name="Note 4_ST_MAHUD" xfId="3523" xr:uid="{00000000-0005-0000-0000-0000CD0D0000}"/>
    <cellStyle name="Note 40" xfId="3524" xr:uid="{00000000-0005-0000-0000-0000CE0D0000}"/>
    <cellStyle name="Note 41" xfId="3525" xr:uid="{00000000-0005-0000-0000-0000CF0D0000}"/>
    <cellStyle name="Note 42" xfId="3526" xr:uid="{00000000-0005-0000-0000-0000D00D0000}"/>
    <cellStyle name="Note 43" xfId="3527" xr:uid="{00000000-0005-0000-0000-0000D10D0000}"/>
    <cellStyle name="Note 44" xfId="3528" xr:uid="{00000000-0005-0000-0000-0000D20D0000}"/>
    <cellStyle name="Note 45" xfId="3529" xr:uid="{00000000-0005-0000-0000-0000D30D0000}"/>
    <cellStyle name="Note 46" xfId="3530" xr:uid="{00000000-0005-0000-0000-0000D40D0000}"/>
    <cellStyle name="Note 47" xfId="3531" xr:uid="{00000000-0005-0000-0000-0000D50D0000}"/>
    <cellStyle name="Note 48" xfId="3532" xr:uid="{00000000-0005-0000-0000-0000D60D0000}"/>
    <cellStyle name="Note 49" xfId="3533" xr:uid="{00000000-0005-0000-0000-0000D70D0000}"/>
    <cellStyle name="Note 5" xfId="3534" xr:uid="{00000000-0005-0000-0000-0000D80D0000}"/>
    <cellStyle name="Note 5 2" xfId="3535" xr:uid="{00000000-0005-0000-0000-0000D90D0000}"/>
    <cellStyle name="Note 5_ST_MAHUD" xfId="3536" xr:uid="{00000000-0005-0000-0000-0000DA0D0000}"/>
    <cellStyle name="Note 50" xfId="3537" xr:uid="{00000000-0005-0000-0000-0000DB0D0000}"/>
    <cellStyle name="Note 51" xfId="3538" xr:uid="{00000000-0005-0000-0000-0000DC0D0000}"/>
    <cellStyle name="Note 52" xfId="3539" xr:uid="{00000000-0005-0000-0000-0000DD0D0000}"/>
    <cellStyle name="Note 53" xfId="3540" xr:uid="{00000000-0005-0000-0000-0000DE0D0000}"/>
    <cellStyle name="Note 54" xfId="3541" xr:uid="{00000000-0005-0000-0000-0000DF0D0000}"/>
    <cellStyle name="Note 55" xfId="3542" xr:uid="{00000000-0005-0000-0000-0000E00D0000}"/>
    <cellStyle name="Note 56" xfId="3543" xr:uid="{00000000-0005-0000-0000-0000E10D0000}"/>
    <cellStyle name="Note 57" xfId="3544" xr:uid="{00000000-0005-0000-0000-0000E20D0000}"/>
    <cellStyle name="Note 58" xfId="3545" xr:uid="{00000000-0005-0000-0000-0000E30D0000}"/>
    <cellStyle name="Note 59" xfId="3546" xr:uid="{00000000-0005-0000-0000-0000E40D0000}"/>
    <cellStyle name="Note 6" xfId="3547" xr:uid="{00000000-0005-0000-0000-0000E50D0000}"/>
    <cellStyle name="Note 6 2" xfId="3548" xr:uid="{00000000-0005-0000-0000-0000E60D0000}"/>
    <cellStyle name="Note 6_ST_MAHUD" xfId="3549" xr:uid="{00000000-0005-0000-0000-0000E70D0000}"/>
    <cellStyle name="Note 60" xfId="3550" xr:uid="{00000000-0005-0000-0000-0000E80D0000}"/>
    <cellStyle name="Note 61" xfId="3551" xr:uid="{00000000-0005-0000-0000-0000E90D0000}"/>
    <cellStyle name="Note 62" xfId="3552" xr:uid="{00000000-0005-0000-0000-0000EA0D0000}"/>
    <cellStyle name="Note 63" xfId="3553" xr:uid="{00000000-0005-0000-0000-0000EB0D0000}"/>
    <cellStyle name="Note 64" xfId="3554" xr:uid="{00000000-0005-0000-0000-0000EC0D0000}"/>
    <cellStyle name="Note 65" xfId="3555" xr:uid="{00000000-0005-0000-0000-0000ED0D0000}"/>
    <cellStyle name="Note 66" xfId="3556" xr:uid="{00000000-0005-0000-0000-0000EE0D0000}"/>
    <cellStyle name="Note 67" xfId="3557" xr:uid="{00000000-0005-0000-0000-0000EF0D0000}"/>
    <cellStyle name="Note 68" xfId="3558" xr:uid="{00000000-0005-0000-0000-0000F00D0000}"/>
    <cellStyle name="Note 69" xfId="3559" xr:uid="{00000000-0005-0000-0000-0000F10D0000}"/>
    <cellStyle name="Note 7" xfId="3560" xr:uid="{00000000-0005-0000-0000-0000F20D0000}"/>
    <cellStyle name="Note 7 2" xfId="3561" xr:uid="{00000000-0005-0000-0000-0000F30D0000}"/>
    <cellStyle name="Note 7_ST_MAHUD" xfId="3562" xr:uid="{00000000-0005-0000-0000-0000F40D0000}"/>
    <cellStyle name="Note 70" xfId="3563" xr:uid="{00000000-0005-0000-0000-0000F50D0000}"/>
    <cellStyle name="Note 71" xfId="3564" xr:uid="{00000000-0005-0000-0000-0000F60D0000}"/>
    <cellStyle name="Note 72" xfId="3565" xr:uid="{00000000-0005-0000-0000-0000F70D0000}"/>
    <cellStyle name="Note 8" xfId="3566" xr:uid="{00000000-0005-0000-0000-0000F80D0000}"/>
    <cellStyle name="Note 8 2" xfId="3567" xr:uid="{00000000-0005-0000-0000-0000F90D0000}"/>
    <cellStyle name="Note 8_ST_MAHUD" xfId="3568" xr:uid="{00000000-0005-0000-0000-0000FA0D0000}"/>
    <cellStyle name="Note 9" xfId="3569" xr:uid="{00000000-0005-0000-0000-0000FB0D0000}"/>
    <cellStyle name="Note 9 2" xfId="3570" xr:uid="{00000000-0005-0000-0000-0000FC0D0000}"/>
    <cellStyle name="Note 9_ST_MAHUD" xfId="3571" xr:uid="{00000000-0005-0000-0000-0000FD0D0000}"/>
    <cellStyle name="Output 10" xfId="3572" xr:uid="{00000000-0005-0000-0000-0000FF0D0000}"/>
    <cellStyle name="Output 10 2" xfId="3573" xr:uid="{00000000-0005-0000-0000-0000000E0000}"/>
    <cellStyle name="Output 10_ST_MAHUD" xfId="3574" xr:uid="{00000000-0005-0000-0000-0000010E0000}"/>
    <cellStyle name="Output 11" xfId="3575" xr:uid="{00000000-0005-0000-0000-0000020E0000}"/>
    <cellStyle name="Output 11 2" xfId="3576" xr:uid="{00000000-0005-0000-0000-0000030E0000}"/>
    <cellStyle name="Output 11_ST_MAHUD" xfId="3577" xr:uid="{00000000-0005-0000-0000-0000040E0000}"/>
    <cellStyle name="Output 12" xfId="3578" xr:uid="{00000000-0005-0000-0000-0000050E0000}"/>
    <cellStyle name="Output 12 2" xfId="3579" xr:uid="{00000000-0005-0000-0000-0000060E0000}"/>
    <cellStyle name="Output 12_ST_MAHUD" xfId="3580" xr:uid="{00000000-0005-0000-0000-0000070E0000}"/>
    <cellStyle name="Output 13" xfId="3581" xr:uid="{00000000-0005-0000-0000-0000080E0000}"/>
    <cellStyle name="Output 13 2" xfId="3582" xr:uid="{00000000-0005-0000-0000-0000090E0000}"/>
    <cellStyle name="Output 13_ST_MAHUD" xfId="3583" xr:uid="{00000000-0005-0000-0000-00000A0E0000}"/>
    <cellStyle name="Output 14" xfId="3584" xr:uid="{00000000-0005-0000-0000-00000B0E0000}"/>
    <cellStyle name="Output 14 2" xfId="3585" xr:uid="{00000000-0005-0000-0000-00000C0E0000}"/>
    <cellStyle name="Output 14_ST_MAHUD" xfId="3586" xr:uid="{00000000-0005-0000-0000-00000D0E0000}"/>
    <cellStyle name="Output 15" xfId="3587" xr:uid="{00000000-0005-0000-0000-00000E0E0000}"/>
    <cellStyle name="Output 15 2" xfId="3588" xr:uid="{00000000-0005-0000-0000-00000F0E0000}"/>
    <cellStyle name="Output 15_ST_MAHUD" xfId="3589" xr:uid="{00000000-0005-0000-0000-0000100E0000}"/>
    <cellStyle name="Output 16" xfId="3590" xr:uid="{00000000-0005-0000-0000-0000110E0000}"/>
    <cellStyle name="Output 16 2" xfId="3591" xr:uid="{00000000-0005-0000-0000-0000120E0000}"/>
    <cellStyle name="Output 16_ST_MAHUD" xfId="3592" xr:uid="{00000000-0005-0000-0000-0000130E0000}"/>
    <cellStyle name="Output 17" xfId="3593" xr:uid="{00000000-0005-0000-0000-0000140E0000}"/>
    <cellStyle name="Output 17 2" xfId="3594" xr:uid="{00000000-0005-0000-0000-0000150E0000}"/>
    <cellStyle name="Output 17_ST_MAHUD" xfId="3595" xr:uid="{00000000-0005-0000-0000-0000160E0000}"/>
    <cellStyle name="Output 18" xfId="3596" xr:uid="{00000000-0005-0000-0000-0000170E0000}"/>
    <cellStyle name="Output 18 2" xfId="3597" xr:uid="{00000000-0005-0000-0000-0000180E0000}"/>
    <cellStyle name="Output 18_ST_MAHUD" xfId="3598" xr:uid="{00000000-0005-0000-0000-0000190E0000}"/>
    <cellStyle name="Output 19" xfId="3599" xr:uid="{00000000-0005-0000-0000-00001A0E0000}"/>
    <cellStyle name="Output 2" xfId="3600" xr:uid="{00000000-0005-0000-0000-00001B0E0000}"/>
    <cellStyle name="Output 2 2" xfId="3601" xr:uid="{00000000-0005-0000-0000-00001C0E0000}"/>
    <cellStyle name="Output 2 3" xfId="3602" xr:uid="{00000000-0005-0000-0000-00001D0E0000}"/>
    <cellStyle name="Output 2_ST_MAHUD" xfId="3603" xr:uid="{00000000-0005-0000-0000-00001E0E0000}"/>
    <cellStyle name="Output 20" xfId="3604" xr:uid="{00000000-0005-0000-0000-00001F0E0000}"/>
    <cellStyle name="Output 21" xfId="3605" xr:uid="{00000000-0005-0000-0000-0000200E0000}"/>
    <cellStyle name="Output 22" xfId="3606" xr:uid="{00000000-0005-0000-0000-0000210E0000}"/>
    <cellStyle name="Output 23" xfId="3607" xr:uid="{00000000-0005-0000-0000-0000220E0000}"/>
    <cellStyle name="Output 24" xfId="3608" xr:uid="{00000000-0005-0000-0000-0000230E0000}"/>
    <cellStyle name="Output 25" xfId="3609" xr:uid="{00000000-0005-0000-0000-0000240E0000}"/>
    <cellStyle name="Output 26" xfId="3610" xr:uid="{00000000-0005-0000-0000-0000250E0000}"/>
    <cellStyle name="Output 27" xfId="3611" xr:uid="{00000000-0005-0000-0000-0000260E0000}"/>
    <cellStyle name="Output 28" xfId="3612" xr:uid="{00000000-0005-0000-0000-0000270E0000}"/>
    <cellStyle name="Output 29" xfId="3613" xr:uid="{00000000-0005-0000-0000-0000280E0000}"/>
    <cellStyle name="Output 3" xfId="3614" xr:uid="{00000000-0005-0000-0000-0000290E0000}"/>
    <cellStyle name="Output 3 2" xfId="3615" xr:uid="{00000000-0005-0000-0000-00002A0E0000}"/>
    <cellStyle name="Output 3_ST_MAHUD" xfId="3616" xr:uid="{00000000-0005-0000-0000-00002B0E0000}"/>
    <cellStyle name="Output 30" xfId="3617" xr:uid="{00000000-0005-0000-0000-00002C0E0000}"/>
    <cellStyle name="Output 31" xfId="3618" xr:uid="{00000000-0005-0000-0000-00002D0E0000}"/>
    <cellStyle name="Output 32" xfId="3619" xr:uid="{00000000-0005-0000-0000-00002E0E0000}"/>
    <cellStyle name="Output 33" xfId="3620" xr:uid="{00000000-0005-0000-0000-00002F0E0000}"/>
    <cellStyle name="Output 34" xfId="3621" xr:uid="{00000000-0005-0000-0000-0000300E0000}"/>
    <cellStyle name="Output 35" xfId="3622" xr:uid="{00000000-0005-0000-0000-0000310E0000}"/>
    <cellStyle name="Output 36" xfId="3623" xr:uid="{00000000-0005-0000-0000-0000320E0000}"/>
    <cellStyle name="Output 37" xfId="3624" xr:uid="{00000000-0005-0000-0000-0000330E0000}"/>
    <cellStyle name="Output 38" xfId="3625" xr:uid="{00000000-0005-0000-0000-0000340E0000}"/>
    <cellStyle name="Output 39" xfId="3626" xr:uid="{00000000-0005-0000-0000-0000350E0000}"/>
    <cellStyle name="Output 4" xfId="3627" xr:uid="{00000000-0005-0000-0000-0000360E0000}"/>
    <cellStyle name="Output 4 2" xfId="3628" xr:uid="{00000000-0005-0000-0000-0000370E0000}"/>
    <cellStyle name="Output 4_ST_MAHUD" xfId="3629" xr:uid="{00000000-0005-0000-0000-0000380E0000}"/>
    <cellStyle name="Output 40" xfId="3630" xr:uid="{00000000-0005-0000-0000-0000390E0000}"/>
    <cellStyle name="Output 41" xfId="3631" xr:uid="{00000000-0005-0000-0000-00003A0E0000}"/>
    <cellStyle name="Output 42" xfId="3632" xr:uid="{00000000-0005-0000-0000-00003B0E0000}"/>
    <cellStyle name="Output 43" xfId="3633" xr:uid="{00000000-0005-0000-0000-00003C0E0000}"/>
    <cellStyle name="Output 44" xfId="3634" xr:uid="{00000000-0005-0000-0000-00003D0E0000}"/>
    <cellStyle name="Output 45" xfId="3635" xr:uid="{00000000-0005-0000-0000-00003E0E0000}"/>
    <cellStyle name="Output 46" xfId="3636" xr:uid="{00000000-0005-0000-0000-00003F0E0000}"/>
    <cellStyle name="Output 47" xfId="3637" xr:uid="{00000000-0005-0000-0000-0000400E0000}"/>
    <cellStyle name="Output 48" xfId="3638" xr:uid="{00000000-0005-0000-0000-0000410E0000}"/>
    <cellStyle name="Output 49" xfId="3639" xr:uid="{00000000-0005-0000-0000-0000420E0000}"/>
    <cellStyle name="Output 5" xfId="3640" xr:uid="{00000000-0005-0000-0000-0000430E0000}"/>
    <cellStyle name="Output 5 2" xfId="3641" xr:uid="{00000000-0005-0000-0000-0000440E0000}"/>
    <cellStyle name="Output 5_ST_MAHUD" xfId="3642" xr:uid="{00000000-0005-0000-0000-0000450E0000}"/>
    <cellStyle name="Output 50" xfId="3643" xr:uid="{00000000-0005-0000-0000-0000460E0000}"/>
    <cellStyle name="Output 51" xfId="3644" xr:uid="{00000000-0005-0000-0000-0000470E0000}"/>
    <cellStyle name="Output 52" xfId="3645" xr:uid="{00000000-0005-0000-0000-0000480E0000}"/>
    <cellStyle name="Output 53" xfId="3646" xr:uid="{00000000-0005-0000-0000-0000490E0000}"/>
    <cellStyle name="Output 54" xfId="3647" xr:uid="{00000000-0005-0000-0000-00004A0E0000}"/>
    <cellStyle name="Output 55" xfId="3648" xr:uid="{00000000-0005-0000-0000-00004B0E0000}"/>
    <cellStyle name="Output 56" xfId="3649" xr:uid="{00000000-0005-0000-0000-00004C0E0000}"/>
    <cellStyle name="Output 57" xfId="3650" xr:uid="{00000000-0005-0000-0000-00004D0E0000}"/>
    <cellStyle name="Output 58" xfId="3651" xr:uid="{00000000-0005-0000-0000-00004E0E0000}"/>
    <cellStyle name="Output 59" xfId="3652" xr:uid="{00000000-0005-0000-0000-00004F0E0000}"/>
    <cellStyle name="Output 6" xfId="3653" xr:uid="{00000000-0005-0000-0000-0000500E0000}"/>
    <cellStyle name="Output 6 2" xfId="3654" xr:uid="{00000000-0005-0000-0000-0000510E0000}"/>
    <cellStyle name="Output 6_ST_MAHUD" xfId="3655" xr:uid="{00000000-0005-0000-0000-0000520E0000}"/>
    <cellStyle name="Output 60" xfId="3656" xr:uid="{00000000-0005-0000-0000-0000530E0000}"/>
    <cellStyle name="Output 61" xfId="3657" xr:uid="{00000000-0005-0000-0000-0000540E0000}"/>
    <cellStyle name="Output 62" xfId="3658" xr:uid="{00000000-0005-0000-0000-0000550E0000}"/>
    <cellStyle name="Output 63" xfId="3659" xr:uid="{00000000-0005-0000-0000-0000560E0000}"/>
    <cellStyle name="Output 64" xfId="3660" xr:uid="{00000000-0005-0000-0000-0000570E0000}"/>
    <cellStyle name="Output 65" xfId="3661" xr:uid="{00000000-0005-0000-0000-0000580E0000}"/>
    <cellStyle name="Output 66" xfId="3662" xr:uid="{00000000-0005-0000-0000-0000590E0000}"/>
    <cellStyle name="Output 67" xfId="3663" xr:uid="{00000000-0005-0000-0000-00005A0E0000}"/>
    <cellStyle name="Output 68" xfId="3664" xr:uid="{00000000-0005-0000-0000-00005B0E0000}"/>
    <cellStyle name="Output 69" xfId="3665" xr:uid="{00000000-0005-0000-0000-00005C0E0000}"/>
    <cellStyle name="Output 7" xfId="3666" xr:uid="{00000000-0005-0000-0000-00005D0E0000}"/>
    <cellStyle name="Output 7 2" xfId="3667" xr:uid="{00000000-0005-0000-0000-00005E0E0000}"/>
    <cellStyle name="Output 7_ST_MAHUD" xfId="3668" xr:uid="{00000000-0005-0000-0000-00005F0E0000}"/>
    <cellStyle name="Output 70" xfId="3669" xr:uid="{00000000-0005-0000-0000-0000600E0000}"/>
    <cellStyle name="Output 71" xfId="3670" xr:uid="{00000000-0005-0000-0000-0000610E0000}"/>
    <cellStyle name="Output 8" xfId="3671" xr:uid="{00000000-0005-0000-0000-0000620E0000}"/>
    <cellStyle name="Output 8 2" xfId="3672" xr:uid="{00000000-0005-0000-0000-0000630E0000}"/>
    <cellStyle name="Output 8_ST_MAHUD" xfId="3673" xr:uid="{00000000-0005-0000-0000-0000640E0000}"/>
    <cellStyle name="Output 9" xfId="3674" xr:uid="{00000000-0005-0000-0000-0000650E0000}"/>
    <cellStyle name="Output 9 2" xfId="3675" xr:uid="{00000000-0005-0000-0000-0000660E0000}"/>
    <cellStyle name="Output 9_ST_MAHUD" xfId="3676" xr:uid="{00000000-0005-0000-0000-0000670E0000}"/>
    <cellStyle name="Pealkiri" xfId="70" xr:uid="{00000000-0005-0000-0000-0000680E0000}"/>
    <cellStyle name="Pealkiri 1" xfId="31" builtinId="16" customBuiltin="1"/>
    <cellStyle name="Pealkiri 1 2" xfId="3677" xr:uid="{00000000-0005-0000-0000-0000690E0000}"/>
    <cellStyle name="Pealkiri 2" xfId="32" builtinId="17" customBuiltin="1"/>
    <cellStyle name="Pealkiri 2 2" xfId="3678" xr:uid="{00000000-0005-0000-0000-00006A0E0000}"/>
    <cellStyle name="Pealkiri 3" xfId="33" builtinId="18" customBuiltin="1"/>
    <cellStyle name="Pealkiri 3 2" xfId="3679" xr:uid="{00000000-0005-0000-0000-00006B0E0000}"/>
    <cellStyle name="Pealkiri 4" xfId="34" builtinId="19" customBuiltin="1"/>
    <cellStyle name="Pealkiri 4 2" xfId="3680" xr:uid="{00000000-0005-0000-0000-00006C0E0000}"/>
    <cellStyle name="Pealkiri 5" xfId="3681" xr:uid="{00000000-0005-0000-0000-00006D0E0000}"/>
    <cellStyle name="Percent 2" xfId="159" xr:uid="{00000000-0005-0000-0000-00006F0E0000}"/>
    <cellStyle name="Protsent" xfId="3885" builtinId="5"/>
    <cellStyle name="Protsent 2" xfId="65" xr:uid="{00000000-0005-0000-0000-0000700E0000}"/>
    <cellStyle name="Protsent 2 2" xfId="160" xr:uid="{00000000-0005-0000-0000-0000710E0000}"/>
    <cellStyle name="Protsent 3" xfId="66" xr:uid="{00000000-0005-0000-0000-0000720E0000}"/>
    <cellStyle name="Protsent 3 2" xfId="67" xr:uid="{00000000-0005-0000-0000-0000730E0000}"/>
    <cellStyle name="Protsent 3 3" xfId="68" xr:uid="{00000000-0005-0000-0000-0000740E0000}"/>
    <cellStyle name="Protsent 4" xfId="69" xr:uid="{00000000-0005-0000-0000-0000750E0000}"/>
    <cellStyle name="Rõhk1" xfId="19" builtinId="29" customBuiltin="1"/>
    <cellStyle name="Rõhk1 2" xfId="3682" xr:uid="{00000000-0005-0000-0000-0000760E0000}"/>
    <cellStyle name="Rõhk2" xfId="20" builtinId="33" customBuiltin="1"/>
    <cellStyle name="Rõhk2 2" xfId="3683" xr:uid="{00000000-0005-0000-0000-0000770E0000}"/>
    <cellStyle name="Rõhk3" xfId="21" builtinId="37" customBuiltin="1"/>
    <cellStyle name="Rõhk3 2" xfId="3684" xr:uid="{00000000-0005-0000-0000-0000780E0000}"/>
    <cellStyle name="Rõhk4" xfId="22" builtinId="41" customBuiltin="1"/>
    <cellStyle name="Rõhk4 2" xfId="3685" xr:uid="{00000000-0005-0000-0000-0000790E0000}"/>
    <cellStyle name="Rõhk5" xfId="23" builtinId="45" customBuiltin="1"/>
    <cellStyle name="Rõhk5 2" xfId="3686" xr:uid="{00000000-0005-0000-0000-00007A0E0000}"/>
    <cellStyle name="Rõhk6" xfId="24" builtinId="49" customBuiltin="1"/>
    <cellStyle name="Rõhk6 2" xfId="3687" xr:uid="{00000000-0005-0000-0000-00007B0E0000}"/>
    <cellStyle name="SAPBEXstdItem" xfId="130" xr:uid="{00000000-0005-0000-0000-00007C0E0000}"/>
    <cellStyle name="SAPBEXstdItem 2" xfId="131" xr:uid="{00000000-0005-0000-0000-00007D0E0000}"/>
    <cellStyle name="SAPBEXstdItem 3" xfId="132" xr:uid="{00000000-0005-0000-0000-00007E0E0000}"/>
    <cellStyle name="Selgitav tekst" xfId="29" builtinId="53" customBuiltin="1"/>
    <cellStyle name="Selgitav tekst 2" xfId="3688" xr:uid="{00000000-0005-0000-0000-00007F0E0000}"/>
    <cellStyle name="Sisend" xfId="37" builtinId="20" customBuiltin="1"/>
    <cellStyle name="Sisestus 2" xfId="3689" xr:uid="{00000000-0005-0000-0000-0000800E0000}"/>
    <cellStyle name="Title 10" xfId="3690" xr:uid="{00000000-0005-0000-0000-0000810E0000}"/>
    <cellStyle name="Title 10 2" xfId="3691" xr:uid="{00000000-0005-0000-0000-0000820E0000}"/>
    <cellStyle name="Title 11" xfId="3692" xr:uid="{00000000-0005-0000-0000-0000830E0000}"/>
    <cellStyle name="Title 11 2" xfId="3693" xr:uid="{00000000-0005-0000-0000-0000840E0000}"/>
    <cellStyle name="Title 12" xfId="3694" xr:uid="{00000000-0005-0000-0000-0000850E0000}"/>
    <cellStyle name="Title 12 2" xfId="3695" xr:uid="{00000000-0005-0000-0000-0000860E0000}"/>
    <cellStyle name="Title 13" xfId="3696" xr:uid="{00000000-0005-0000-0000-0000870E0000}"/>
    <cellStyle name="Title 13 2" xfId="3697" xr:uid="{00000000-0005-0000-0000-0000880E0000}"/>
    <cellStyle name="Title 14" xfId="3698" xr:uid="{00000000-0005-0000-0000-0000890E0000}"/>
    <cellStyle name="Title 14 2" xfId="3699" xr:uid="{00000000-0005-0000-0000-00008A0E0000}"/>
    <cellStyle name="Title 15" xfId="3700" xr:uid="{00000000-0005-0000-0000-00008B0E0000}"/>
    <cellStyle name="Title 15 2" xfId="3701" xr:uid="{00000000-0005-0000-0000-00008C0E0000}"/>
    <cellStyle name="Title 16" xfId="3702" xr:uid="{00000000-0005-0000-0000-00008D0E0000}"/>
    <cellStyle name="Title 16 2" xfId="3703" xr:uid="{00000000-0005-0000-0000-00008E0E0000}"/>
    <cellStyle name="Title 17" xfId="3704" xr:uid="{00000000-0005-0000-0000-00008F0E0000}"/>
    <cellStyle name="Title 17 2" xfId="3705" xr:uid="{00000000-0005-0000-0000-0000900E0000}"/>
    <cellStyle name="Title 18" xfId="3706" xr:uid="{00000000-0005-0000-0000-0000910E0000}"/>
    <cellStyle name="Title 18 2" xfId="3707" xr:uid="{00000000-0005-0000-0000-0000920E0000}"/>
    <cellStyle name="Title 2" xfId="3708" xr:uid="{00000000-0005-0000-0000-0000930E0000}"/>
    <cellStyle name="Title 2 2" xfId="3709" xr:uid="{00000000-0005-0000-0000-0000940E0000}"/>
    <cellStyle name="Title 2 3" xfId="3710" xr:uid="{00000000-0005-0000-0000-0000950E0000}"/>
    <cellStyle name="Title 3" xfId="3711" xr:uid="{00000000-0005-0000-0000-0000960E0000}"/>
    <cellStyle name="Title 3 2" xfId="3712" xr:uid="{00000000-0005-0000-0000-0000970E0000}"/>
    <cellStyle name="Title 4" xfId="3713" xr:uid="{00000000-0005-0000-0000-0000980E0000}"/>
    <cellStyle name="Title 4 2" xfId="3714" xr:uid="{00000000-0005-0000-0000-0000990E0000}"/>
    <cellStyle name="Title 5" xfId="3715" xr:uid="{00000000-0005-0000-0000-00009A0E0000}"/>
    <cellStyle name="Title 5 2" xfId="3716" xr:uid="{00000000-0005-0000-0000-00009B0E0000}"/>
    <cellStyle name="Title 6" xfId="3717" xr:uid="{00000000-0005-0000-0000-00009C0E0000}"/>
    <cellStyle name="Title 6 2" xfId="3718" xr:uid="{00000000-0005-0000-0000-00009D0E0000}"/>
    <cellStyle name="Title 7" xfId="3719" xr:uid="{00000000-0005-0000-0000-00009E0E0000}"/>
    <cellStyle name="Title 7 2" xfId="3720" xr:uid="{00000000-0005-0000-0000-00009F0E0000}"/>
    <cellStyle name="Title 8" xfId="3721" xr:uid="{00000000-0005-0000-0000-0000A00E0000}"/>
    <cellStyle name="Title 8 2" xfId="3722" xr:uid="{00000000-0005-0000-0000-0000A10E0000}"/>
    <cellStyle name="Title 9" xfId="3723" xr:uid="{00000000-0005-0000-0000-0000A20E0000}"/>
    <cellStyle name="Title 9 2" xfId="3724" xr:uid="{00000000-0005-0000-0000-0000A30E0000}"/>
    <cellStyle name="Total 10" xfId="3725" xr:uid="{00000000-0005-0000-0000-0000A40E0000}"/>
    <cellStyle name="Total 10 2" xfId="3726" xr:uid="{00000000-0005-0000-0000-0000A50E0000}"/>
    <cellStyle name="Total 10_ST_MAHUD" xfId="3727" xr:uid="{00000000-0005-0000-0000-0000A60E0000}"/>
    <cellStyle name="Total 11" xfId="3728" xr:uid="{00000000-0005-0000-0000-0000A70E0000}"/>
    <cellStyle name="Total 11 2" xfId="3729" xr:uid="{00000000-0005-0000-0000-0000A80E0000}"/>
    <cellStyle name="Total 11_ST_MAHUD" xfId="3730" xr:uid="{00000000-0005-0000-0000-0000A90E0000}"/>
    <cellStyle name="Total 12" xfId="3731" xr:uid="{00000000-0005-0000-0000-0000AA0E0000}"/>
    <cellStyle name="Total 12 2" xfId="3732" xr:uid="{00000000-0005-0000-0000-0000AB0E0000}"/>
    <cellStyle name="Total 12_ST_MAHUD" xfId="3733" xr:uid="{00000000-0005-0000-0000-0000AC0E0000}"/>
    <cellStyle name="Total 13" xfId="3734" xr:uid="{00000000-0005-0000-0000-0000AD0E0000}"/>
    <cellStyle name="Total 13 2" xfId="3735" xr:uid="{00000000-0005-0000-0000-0000AE0E0000}"/>
    <cellStyle name="Total 13_ST_MAHUD" xfId="3736" xr:uid="{00000000-0005-0000-0000-0000AF0E0000}"/>
    <cellStyle name="Total 14" xfId="3737" xr:uid="{00000000-0005-0000-0000-0000B00E0000}"/>
    <cellStyle name="Total 14 2" xfId="3738" xr:uid="{00000000-0005-0000-0000-0000B10E0000}"/>
    <cellStyle name="Total 14_ST_MAHUD" xfId="3739" xr:uid="{00000000-0005-0000-0000-0000B20E0000}"/>
    <cellStyle name="Total 15" xfId="3740" xr:uid="{00000000-0005-0000-0000-0000B30E0000}"/>
    <cellStyle name="Total 15 2" xfId="3741" xr:uid="{00000000-0005-0000-0000-0000B40E0000}"/>
    <cellStyle name="Total 15_ST_MAHUD" xfId="3742" xr:uid="{00000000-0005-0000-0000-0000B50E0000}"/>
    <cellStyle name="Total 16" xfId="3743" xr:uid="{00000000-0005-0000-0000-0000B60E0000}"/>
    <cellStyle name="Total 16 2" xfId="3744" xr:uid="{00000000-0005-0000-0000-0000B70E0000}"/>
    <cellStyle name="Total 16_ST_MAHUD" xfId="3745" xr:uid="{00000000-0005-0000-0000-0000B80E0000}"/>
    <cellStyle name="Total 17" xfId="3746" xr:uid="{00000000-0005-0000-0000-0000B90E0000}"/>
    <cellStyle name="Total 17 2" xfId="3747" xr:uid="{00000000-0005-0000-0000-0000BA0E0000}"/>
    <cellStyle name="Total 17_ST_MAHUD" xfId="3748" xr:uid="{00000000-0005-0000-0000-0000BB0E0000}"/>
    <cellStyle name="Total 18" xfId="3749" xr:uid="{00000000-0005-0000-0000-0000BC0E0000}"/>
    <cellStyle name="Total 18 2" xfId="3750" xr:uid="{00000000-0005-0000-0000-0000BD0E0000}"/>
    <cellStyle name="Total 18_ST_MAHUD" xfId="3751" xr:uid="{00000000-0005-0000-0000-0000BE0E0000}"/>
    <cellStyle name="Total 19" xfId="3752" xr:uid="{00000000-0005-0000-0000-0000BF0E0000}"/>
    <cellStyle name="Total 2" xfId="3753" xr:uid="{00000000-0005-0000-0000-0000C00E0000}"/>
    <cellStyle name="Total 2 2" xfId="3754" xr:uid="{00000000-0005-0000-0000-0000C10E0000}"/>
    <cellStyle name="Total 2 3" xfId="3755" xr:uid="{00000000-0005-0000-0000-0000C20E0000}"/>
    <cellStyle name="Total 2_ST_MAHUD" xfId="3756" xr:uid="{00000000-0005-0000-0000-0000C30E0000}"/>
    <cellStyle name="Total 20" xfId="3757" xr:uid="{00000000-0005-0000-0000-0000C40E0000}"/>
    <cellStyle name="Total 21" xfId="3758" xr:uid="{00000000-0005-0000-0000-0000C50E0000}"/>
    <cellStyle name="Total 22" xfId="3759" xr:uid="{00000000-0005-0000-0000-0000C60E0000}"/>
    <cellStyle name="Total 23" xfId="3760" xr:uid="{00000000-0005-0000-0000-0000C70E0000}"/>
    <cellStyle name="Total 24" xfId="3761" xr:uid="{00000000-0005-0000-0000-0000C80E0000}"/>
    <cellStyle name="Total 25" xfId="3762" xr:uid="{00000000-0005-0000-0000-0000C90E0000}"/>
    <cellStyle name="Total 26" xfId="3763" xr:uid="{00000000-0005-0000-0000-0000CA0E0000}"/>
    <cellStyle name="Total 27" xfId="3764" xr:uid="{00000000-0005-0000-0000-0000CB0E0000}"/>
    <cellStyle name="Total 28" xfId="3765" xr:uid="{00000000-0005-0000-0000-0000CC0E0000}"/>
    <cellStyle name="Total 29" xfId="3766" xr:uid="{00000000-0005-0000-0000-0000CD0E0000}"/>
    <cellStyle name="Total 3" xfId="3767" xr:uid="{00000000-0005-0000-0000-0000CE0E0000}"/>
    <cellStyle name="Total 3 2" xfId="3768" xr:uid="{00000000-0005-0000-0000-0000CF0E0000}"/>
    <cellStyle name="Total 3_ST_MAHUD" xfId="3769" xr:uid="{00000000-0005-0000-0000-0000D00E0000}"/>
    <cellStyle name="Total 30" xfId="3770" xr:uid="{00000000-0005-0000-0000-0000D10E0000}"/>
    <cellStyle name="Total 31" xfId="3771" xr:uid="{00000000-0005-0000-0000-0000D20E0000}"/>
    <cellStyle name="Total 32" xfId="3772" xr:uid="{00000000-0005-0000-0000-0000D30E0000}"/>
    <cellStyle name="Total 33" xfId="3773" xr:uid="{00000000-0005-0000-0000-0000D40E0000}"/>
    <cellStyle name="Total 34" xfId="3774" xr:uid="{00000000-0005-0000-0000-0000D50E0000}"/>
    <cellStyle name="Total 35" xfId="3775" xr:uid="{00000000-0005-0000-0000-0000D60E0000}"/>
    <cellStyle name="Total 36" xfId="3776" xr:uid="{00000000-0005-0000-0000-0000D70E0000}"/>
    <cellStyle name="Total 37" xfId="3777" xr:uid="{00000000-0005-0000-0000-0000D80E0000}"/>
    <cellStyle name="Total 38" xfId="3778" xr:uid="{00000000-0005-0000-0000-0000D90E0000}"/>
    <cellStyle name="Total 39" xfId="3779" xr:uid="{00000000-0005-0000-0000-0000DA0E0000}"/>
    <cellStyle name="Total 4" xfId="3780" xr:uid="{00000000-0005-0000-0000-0000DB0E0000}"/>
    <cellStyle name="Total 4 2" xfId="3781" xr:uid="{00000000-0005-0000-0000-0000DC0E0000}"/>
    <cellStyle name="Total 4_ST_MAHUD" xfId="3782" xr:uid="{00000000-0005-0000-0000-0000DD0E0000}"/>
    <cellStyle name="Total 40" xfId="3783" xr:uid="{00000000-0005-0000-0000-0000DE0E0000}"/>
    <cellStyle name="Total 41" xfId="3784" xr:uid="{00000000-0005-0000-0000-0000DF0E0000}"/>
    <cellStyle name="Total 42" xfId="3785" xr:uid="{00000000-0005-0000-0000-0000E00E0000}"/>
    <cellStyle name="Total 43" xfId="3786" xr:uid="{00000000-0005-0000-0000-0000E10E0000}"/>
    <cellStyle name="Total 44" xfId="3787" xr:uid="{00000000-0005-0000-0000-0000E20E0000}"/>
    <cellStyle name="Total 45" xfId="3788" xr:uid="{00000000-0005-0000-0000-0000E30E0000}"/>
    <cellStyle name="Total 46" xfId="3789" xr:uid="{00000000-0005-0000-0000-0000E40E0000}"/>
    <cellStyle name="Total 47" xfId="3790" xr:uid="{00000000-0005-0000-0000-0000E50E0000}"/>
    <cellStyle name="Total 48" xfId="3791" xr:uid="{00000000-0005-0000-0000-0000E60E0000}"/>
    <cellStyle name="Total 49" xfId="3792" xr:uid="{00000000-0005-0000-0000-0000E70E0000}"/>
    <cellStyle name="Total 5" xfId="3793" xr:uid="{00000000-0005-0000-0000-0000E80E0000}"/>
    <cellStyle name="Total 5 2" xfId="3794" xr:uid="{00000000-0005-0000-0000-0000E90E0000}"/>
    <cellStyle name="Total 5_ST_MAHUD" xfId="3795" xr:uid="{00000000-0005-0000-0000-0000EA0E0000}"/>
    <cellStyle name="Total 50" xfId="3796" xr:uid="{00000000-0005-0000-0000-0000EB0E0000}"/>
    <cellStyle name="Total 51" xfId="3797" xr:uid="{00000000-0005-0000-0000-0000EC0E0000}"/>
    <cellStyle name="Total 52" xfId="3798" xr:uid="{00000000-0005-0000-0000-0000ED0E0000}"/>
    <cellStyle name="Total 53" xfId="3799" xr:uid="{00000000-0005-0000-0000-0000EE0E0000}"/>
    <cellStyle name="Total 54" xfId="3800" xr:uid="{00000000-0005-0000-0000-0000EF0E0000}"/>
    <cellStyle name="Total 55" xfId="3801" xr:uid="{00000000-0005-0000-0000-0000F00E0000}"/>
    <cellStyle name="Total 56" xfId="3802" xr:uid="{00000000-0005-0000-0000-0000F10E0000}"/>
    <cellStyle name="Total 57" xfId="3803" xr:uid="{00000000-0005-0000-0000-0000F20E0000}"/>
    <cellStyle name="Total 58" xfId="3804" xr:uid="{00000000-0005-0000-0000-0000F30E0000}"/>
    <cellStyle name="Total 59" xfId="3805" xr:uid="{00000000-0005-0000-0000-0000F40E0000}"/>
    <cellStyle name="Total 6" xfId="3806" xr:uid="{00000000-0005-0000-0000-0000F50E0000}"/>
    <cellStyle name="Total 6 2" xfId="3807" xr:uid="{00000000-0005-0000-0000-0000F60E0000}"/>
    <cellStyle name="Total 6_ST_MAHUD" xfId="3808" xr:uid="{00000000-0005-0000-0000-0000F70E0000}"/>
    <cellStyle name="Total 60" xfId="3809" xr:uid="{00000000-0005-0000-0000-0000F80E0000}"/>
    <cellStyle name="Total 61" xfId="3810" xr:uid="{00000000-0005-0000-0000-0000F90E0000}"/>
    <cellStyle name="Total 62" xfId="3811" xr:uid="{00000000-0005-0000-0000-0000FA0E0000}"/>
    <cellStyle name="Total 63" xfId="3812" xr:uid="{00000000-0005-0000-0000-0000FB0E0000}"/>
    <cellStyle name="Total 64" xfId="3813" xr:uid="{00000000-0005-0000-0000-0000FC0E0000}"/>
    <cellStyle name="Total 65" xfId="3814" xr:uid="{00000000-0005-0000-0000-0000FD0E0000}"/>
    <cellStyle name="Total 66" xfId="3815" xr:uid="{00000000-0005-0000-0000-0000FE0E0000}"/>
    <cellStyle name="Total 67" xfId="3816" xr:uid="{00000000-0005-0000-0000-0000FF0E0000}"/>
    <cellStyle name="Total 68" xfId="3817" xr:uid="{00000000-0005-0000-0000-0000000F0000}"/>
    <cellStyle name="Total 69" xfId="3818" xr:uid="{00000000-0005-0000-0000-0000010F0000}"/>
    <cellStyle name="Total 7" xfId="3819" xr:uid="{00000000-0005-0000-0000-0000020F0000}"/>
    <cellStyle name="Total 7 2" xfId="3820" xr:uid="{00000000-0005-0000-0000-0000030F0000}"/>
    <cellStyle name="Total 7_ST_MAHUD" xfId="3821" xr:uid="{00000000-0005-0000-0000-0000040F0000}"/>
    <cellStyle name="Total 70" xfId="3822" xr:uid="{00000000-0005-0000-0000-0000050F0000}"/>
    <cellStyle name="Total 71" xfId="3823" xr:uid="{00000000-0005-0000-0000-0000060F0000}"/>
    <cellStyle name="Total 72" xfId="3824" xr:uid="{00000000-0005-0000-0000-0000070F0000}"/>
    <cellStyle name="Total 8" xfId="3825" xr:uid="{00000000-0005-0000-0000-0000080F0000}"/>
    <cellStyle name="Total 8 2" xfId="3826" xr:uid="{00000000-0005-0000-0000-0000090F0000}"/>
    <cellStyle name="Total 8_ST_MAHUD" xfId="3827" xr:uid="{00000000-0005-0000-0000-00000A0F0000}"/>
    <cellStyle name="Total 9" xfId="3828" xr:uid="{00000000-0005-0000-0000-00000B0F0000}"/>
    <cellStyle name="Total 9 2" xfId="3829" xr:uid="{00000000-0005-0000-0000-00000C0F0000}"/>
    <cellStyle name="Total 9_ST_MAHUD" xfId="3830" xr:uid="{00000000-0005-0000-0000-00000D0F0000}"/>
    <cellStyle name="Warning Text 10" xfId="3831" xr:uid="{00000000-0005-0000-0000-00000F0F0000}"/>
    <cellStyle name="Warning Text 10 2" xfId="3832" xr:uid="{00000000-0005-0000-0000-0000100F0000}"/>
    <cellStyle name="Warning Text 11" xfId="3833" xr:uid="{00000000-0005-0000-0000-0000110F0000}"/>
    <cellStyle name="Warning Text 11 2" xfId="3834" xr:uid="{00000000-0005-0000-0000-0000120F0000}"/>
    <cellStyle name="Warning Text 12" xfId="3835" xr:uid="{00000000-0005-0000-0000-0000130F0000}"/>
    <cellStyle name="Warning Text 12 2" xfId="3836" xr:uid="{00000000-0005-0000-0000-0000140F0000}"/>
    <cellStyle name="Warning Text 13" xfId="3837" xr:uid="{00000000-0005-0000-0000-0000150F0000}"/>
    <cellStyle name="Warning Text 13 2" xfId="3838" xr:uid="{00000000-0005-0000-0000-0000160F0000}"/>
    <cellStyle name="Warning Text 14" xfId="3839" xr:uid="{00000000-0005-0000-0000-0000170F0000}"/>
    <cellStyle name="Warning Text 14 2" xfId="3840" xr:uid="{00000000-0005-0000-0000-0000180F0000}"/>
    <cellStyle name="Warning Text 15" xfId="3841" xr:uid="{00000000-0005-0000-0000-0000190F0000}"/>
    <cellStyle name="Warning Text 15 2" xfId="3842" xr:uid="{00000000-0005-0000-0000-00001A0F0000}"/>
    <cellStyle name="Warning Text 16" xfId="3843" xr:uid="{00000000-0005-0000-0000-00001B0F0000}"/>
    <cellStyle name="Warning Text 16 2" xfId="3844" xr:uid="{00000000-0005-0000-0000-00001C0F0000}"/>
    <cellStyle name="Warning Text 17" xfId="3845" xr:uid="{00000000-0005-0000-0000-00001D0F0000}"/>
    <cellStyle name="Warning Text 17 2" xfId="3846" xr:uid="{00000000-0005-0000-0000-00001E0F0000}"/>
    <cellStyle name="Warning Text 18" xfId="3847" xr:uid="{00000000-0005-0000-0000-00001F0F0000}"/>
    <cellStyle name="Warning Text 18 2" xfId="3848" xr:uid="{00000000-0005-0000-0000-0000200F0000}"/>
    <cellStyle name="Warning Text 2" xfId="3849" xr:uid="{00000000-0005-0000-0000-0000210F0000}"/>
    <cellStyle name="Warning Text 2 2" xfId="3850" xr:uid="{00000000-0005-0000-0000-0000220F0000}"/>
    <cellStyle name="Warning Text 2 3" xfId="3851" xr:uid="{00000000-0005-0000-0000-0000230F0000}"/>
    <cellStyle name="Warning Text 3" xfId="3852" xr:uid="{00000000-0005-0000-0000-0000240F0000}"/>
    <cellStyle name="Warning Text 3 2" xfId="3853" xr:uid="{00000000-0005-0000-0000-0000250F0000}"/>
    <cellStyle name="Warning Text 4" xfId="3854" xr:uid="{00000000-0005-0000-0000-0000260F0000}"/>
    <cellStyle name="Warning Text 4 2" xfId="3855" xr:uid="{00000000-0005-0000-0000-0000270F0000}"/>
    <cellStyle name="Warning Text 5" xfId="3856" xr:uid="{00000000-0005-0000-0000-0000280F0000}"/>
    <cellStyle name="Warning Text 5 2" xfId="3857" xr:uid="{00000000-0005-0000-0000-0000290F0000}"/>
    <cellStyle name="Warning Text 6" xfId="3858" xr:uid="{00000000-0005-0000-0000-00002A0F0000}"/>
    <cellStyle name="Warning Text 6 2" xfId="3859" xr:uid="{00000000-0005-0000-0000-00002B0F0000}"/>
    <cellStyle name="Warning Text 7" xfId="3860" xr:uid="{00000000-0005-0000-0000-00002C0F0000}"/>
    <cellStyle name="Warning Text 7 2" xfId="3861" xr:uid="{00000000-0005-0000-0000-00002D0F0000}"/>
    <cellStyle name="Warning Text 8" xfId="3862" xr:uid="{00000000-0005-0000-0000-00002E0F0000}"/>
    <cellStyle name="Warning Text 8 2" xfId="3863" xr:uid="{00000000-0005-0000-0000-00002F0F0000}"/>
    <cellStyle name="Warning Text 9" xfId="3864" xr:uid="{00000000-0005-0000-0000-0000300F0000}"/>
    <cellStyle name="Warning Text 9 2" xfId="3865" xr:uid="{00000000-0005-0000-0000-0000310F0000}"/>
    <cellStyle name="Väljund" xfId="64" builtinId="21" customBuiltin="1"/>
    <cellStyle name="Väljund 2" xfId="3866" xr:uid="{00000000-0005-0000-0000-0000320F0000}"/>
  </cellStyles>
  <dxfs count="11">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alignment wrapText="0"/>
    </dxf>
    <dxf>
      <alignment wrapText="1"/>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3.xml"/><Relationship Id="rId35"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t-EE" sz="1800" b="1" i="0" baseline="0">
                <a:effectLst/>
              </a:rPr>
              <a:t>THK säilitamise ja arendmise dünaamika (tuh €)</a:t>
            </a:r>
            <a:endParaRPr lang="et-EE">
              <a:effectLst/>
            </a:endParaRPr>
          </a:p>
        </c:rich>
      </c:tx>
      <c:overlay val="0"/>
    </c:title>
    <c:autoTitleDeleted val="0"/>
    <c:plotArea>
      <c:layout/>
      <c:lineChart>
        <c:grouping val="standard"/>
        <c:varyColors val="0"/>
        <c:ser>
          <c:idx val="0"/>
          <c:order val="0"/>
          <c:tx>
            <c:strRef>
              <c:f>Sheet1!$A$25</c:f>
              <c:strCache>
                <c:ptCount val="1"/>
                <c:pt idx="0">
                  <c:v>TEEHOIUTÖÖD KOKKU</c:v>
                </c:pt>
              </c:strCache>
            </c:strRef>
          </c:tx>
          <c:marker>
            <c:symbol val="none"/>
          </c:marker>
          <c:cat>
            <c:numRef>
              <c:f>Sheet1!$B$24:$O$24</c:f>
              <c:numCache>
                <c:formatCode>General</c:formatCode>
                <c:ptCount val="14"/>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numCache>
            </c:numRef>
          </c:cat>
          <c:val>
            <c:numRef>
              <c:f>Sheet1!$B$25:$O$25</c:f>
              <c:numCache>
                <c:formatCode>#,##0</c:formatCode>
                <c:ptCount val="14"/>
                <c:pt idx="0">
                  <c:v>238082.5</c:v>
                </c:pt>
                <c:pt idx="1">
                  <c:v>241538.28577647061</c:v>
                </c:pt>
                <c:pt idx="2">
                  <c:v>243070.5</c:v>
                </c:pt>
                <c:pt idx="3">
                  <c:v>257962.19</c:v>
                </c:pt>
                <c:pt idx="4">
                  <c:v>279487.58752140542</c:v>
                </c:pt>
                <c:pt idx="5">
                  <c:v>246988.36718749997</c:v>
                </c:pt>
                <c:pt idx="6">
                  <c:v>289637.82011718745</c:v>
                </c:pt>
                <c:pt idx="7">
                  <c:v>303274.9025195312</c:v>
                </c:pt>
                <c:pt idx="8">
                  <c:v>311129.40056992188</c:v>
                </c:pt>
                <c:pt idx="9">
                  <c:v>324088.98858132027</c:v>
                </c:pt>
                <c:pt idx="10">
                  <c:v>284154.69335294666</c:v>
                </c:pt>
                <c:pt idx="11">
                  <c:v>289328.81034500559</c:v>
                </c:pt>
                <c:pt idx="12">
                  <c:v>294613.68525503069</c:v>
                </c:pt>
                <c:pt idx="13">
                  <c:v>295011.71513083449</c:v>
                </c:pt>
              </c:numCache>
            </c:numRef>
          </c:val>
          <c:smooth val="0"/>
          <c:extLst>
            <c:ext xmlns:c16="http://schemas.microsoft.com/office/drawing/2014/chart" uri="{C3380CC4-5D6E-409C-BE32-E72D297353CC}">
              <c16:uniqueId val="{00000000-7CD5-4279-B996-2A2FBEE1CB6E}"/>
            </c:ext>
          </c:extLst>
        </c:ser>
        <c:ser>
          <c:idx val="1"/>
          <c:order val="1"/>
          <c:tx>
            <c:strRef>
              <c:f>Sheet1!$A$26</c:f>
              <c:strCache>
                <c:ptCount val="1"/>
                <c:pt idx="0">
                  <c:v>s.h. RES maksutulust</c:v>
                </c:pt>
              </c:strCache>
            </c:strRef>
          </c:tx>
          <c:marker>
            <c:symbol val="none"/>
          </c:marker>
          <c:cat>
            <c:numRef>
              <c:f>Sheet1!$B$24:$O$24</c:f>
              <c:numCache>
                <c:formatCode>General</c:formatCode>
                <c:ptCount val="14"/>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numCache>
            </c:numRef>
          </c:cat>
          <c:val>
            <c:numRef>
              <c:f>Sheet1!$B$26:$O$26</c:f>
              <c:numCache>
                <c:formatCode>#,##0</c:formatCode>
                <c:ptCount val="14"/>
                <c:pt idx="0">
                  <c:v>191849.52100000001</c:v>
                </c:pt>
                <c:pt idx="1">
                  <c:v>175744.78</c:v>
                </c:pt>
                <c:pt idx="2">
                  <c:v>208348</c:v>
                </c:pt>
                <c:pt idx="3">
                  <c:v>209937.19</c:v>
                </c:pt>
                <c:pt idx="4">
                  <c:v>227637.58752140542</c:v>
                </c:pt>
                <c:pt idx="5">
                  <c:v>227638.36718749997</c:v>
                </c:pt>
                <c:pt idx="6">
                  <c:v>247637.82011718745</c:v>
                </c:pt>
                <c:pt idx="7">
                  <c:v>263274.9025195312</c:v>
                </c:pt>
                <c:pt idx="8">
                  <c:v>271129.40056992188</c:v>
                </c:pt>
                <c:pt idx="9">
                  <c:v>284088.98858132027</c:v>
                </c:pt>
                <c:pt idx="10">
                  <c:v>284154.69335294666</c:v>
                </c:pt>
                <c:pt idx="11">
                  <c:v>289328.81034500559</c:v>
                </c:pt>
                <c:pt idx="12">
                  <c:v>294613.68525503069</c:v>
                </c:pt>
                <c:pt idx="13">
                  <c:v>295011.71513083449</c:v>
                </c:pt>
              </c:numCache>
            </c:numRef>
          </c:val>
          <c:smooth val="0"/>
          <c:extLst>
            <c:ext xmlns:c16="http://schemas.microsoft.com/office/drawing/2014/chart" uri="{C3380CC4-5D6E-409C-BE32-E72D297353CC}">
              <c16:uniqueId val="{00000001-7CD5-4279-B996-2A2FBEE1CB6E}"/>
            </c:ext>
          </c:extLst>
        </c:ser>
        <c:ser>
          <c:idx val="2"/>
          <c:order val="2"/>
          <c:tx>
            <c:strRef>
              <c:f>Sheet1!$A$27</c:f>
              <c:strCache>
                <c:ptCount val="1"/>
                <c:pt idx="0">
                  <c:v>Teedevõrgu säilitamine KOKKU</c:v>
                </c:pt>
              </c:strCache>
            </c:strRef>
          </c:tx>
          <c:marker>
            <c:symbol val="none"/>
          </c:marker>
          <c:cat>
            <c:numRef>
              <c:f>Sheet1!$B$24:$O$24</c:f>
              <c:numCache>
                <c:formatCode>General</c:formatCode>
                <c:ptCount val="14"/>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numCache>
            </c:numRef>
          </c:cat>
          <c:val>
            <c:numRef>
              <c:f>Sheet1!$B$27:$O$27</c:f>
              <c:numCache>
                <c:formatCode>#,##0</c:formatCode>
                <c:ptCount val="14"/>
                <c:pt idx="0">
                  <c:v>156373.5</c:v>
                </c:pt>
                <c:pt idx="1">
                  <c:v>165676.04176117649</c:v>
                </c:pt>
                <c:pt idx="2">
                  <c:v>156495.5</c:v>
                </c:pt>
                <c:pt idx="3">
                  <c:v>149494.69</c:v>
                </c:pt>
                <c:pt idx="4">
                  <c:v>168270.5250214054</c:v>
                </c:pt>
                <c:pt idx="5">
                  <c:v>175653.10937499997</c:v>
                </c:pt>
                <c:pt idx="6">
                  <c:v>172162.98710937498</c:v>
                </c:pt>
                <c:pt idx="7">
                  <c:v>177146.64685156249</c:v>
                </c:pt>
                <c:pt idx="8">
                  <c:v>180958.57978859375</c:v>
                </c:pt>
                <c:pt idx="9">
                  <c:v>184854.75138436558</c:v>
                </c:pt>
                <c:pt idx="10">
                  <c:v>188835.77141205291</c:v>
                </c:pt>
                <c:pt idx="11">
                  <c:v>192903.50996529395</c:v>
                </c:pt>
                <c:pt idx="12">
                  <c:v>197059.87886772482</c:v>
                </c:pt>
                <c:pt idx="13">
                  <c:v>201306.83261578245</c:v>
                </c:pt>
              </c:numCache>
            </c:numRef>
          </c:val>
          <c:smooth val="0"/>
          <c:extLst>
            <c:ext xmlns:c16="http://schemas.microsoft.com/office/drawing/2014/chart" uri="{C3380CC4-5D6E-409C-BE32-E72D297353CC}">
              <c16:uniqueId val="{00000002-7CD5-4279-B996-2A2FBEE1CB6E}"/>
            </c:ext>
          </c:extLst>
        </c:ser>
        <c:ser>
          <c:idx val="3"/>
          <c:order val="3"/>
          <c:tx>
            <c:strRef>
              <c:f>Sheet1!$A$28</c:f>
              <c:strCache>
                <c:ptCount val="1"/>
                <c:pt idx="0">
                  <c:v>Teedevõrgu arendamine KOKKU</c:v>
                </c:pt>
              </c:strCache>
            </c:strRef>
          </c:tx>
          <c:marker>
            <c:symbol val="none"/>
          </c:marker>
          <c:cat>
            <c:numRef>
              <c:f>Sheet1!$B$24:$O$24</c:f>
              <c:numCache>
                <c:formatCode>General</c:formatCode>
                <c:ptCount val="14"/>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numCache>
            </c:numRef>
          </c:cat>
          <c:val>
            <c:numRef>
              <c:f>Sheet1!$B$28:$O$28</c:f>
              <c:numCache>
                <c:formatCode>#,##0</c:formatCode>
                <c:ptCount val="14"/>
                <c:pt idx="0">
                  <c:v>60135</c:v>
                </c:pt>
                <c:pt idx="1">
                  <c:v>53748.894015294129</c:v>
                </c:pt>
                <c:pt idx="2">
                  <c:v>61882</c:v>
                </c:pt>
                <c:pt idx="3">
                  <c:v>83115.5</c:v>
                </c:pt>
                <c:pt idx="4">
                  <c:v>85228.0625</c:v>
                </c:pt>
                <c:pt idx="5">
                  <c:v>45346.2578125</c:v>
                </c:pt>
                <c:pt idx="6">
                  <c:v>90836.108007812494</c:v>
                </c:pt>
                <c:pt idx="7">
                  <c:v>98956.75616796875</c:v>
                </c:pt>
                <c:pt idx="8">
                  <c:v>102455.89129132812</c:v>
                </c:pt>
                <c:pt idx="9">
                  <c:v>110965.0091171547</c:v>
                </c:pt>
                <c:pt idx="10">
                  <c:v>66484.309299497778</c:v>
                </c:pt>
                <c:pt idx="11">
                  <c:v>67013.995485487743</c:v>
                </c:pt>
                <c:pt idx="12">
                  <c:v>67554.275395197488</c:v>
                </c:pt>
                <c:pt idx="13">
                  <c:v>63105.360903101442</c:v>
                </c:pt>
              </c:numCache>
            </c:numRef>
          </c:val>
          <c:smooth val="0"/>
          <c:extLst>
            <c:ext xmlns:c16="http://schemas.microsoft.com/office/drawing/2014/chart" uri="{C3380CC4-5D6E-409C-BE32-E72D297353CC}">
              <c16:uniqueId val="{00000003-7CD5-4279-B996-2A2FBEE1CB6E}"/>
            </c:ext>
          </c:extLst>
        </c:ser>
        <c:ser>
          <c:idx val="4"/>
          <c:order val="4"/>
          <c:tx>
            <c:strRef>
              <c:f>Sheet1!$A$29</c:f>
              <c:strCache>
                <c:ptCount val="1"/>
                <c:pt idx="0">
                  <c:v>s.h. arendamine RES maksutulust ja välisvahendid</c:v>
                </c:pt>
              </c:strCache>
            </c:strRef>
          </c:tx>
          <c:marker>
            <c:symbol val="none"/>
          </c:marker>
          <c:cat>
            <c:numRef>
              <c:f>Sheet1!$B$24:$O$24</c:f>
              <c:numCache>
                <c:formatCode>General</c:formatCode>
                <c:ptCount val="14"/>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numCache>
            </c:numRef>
          </c:cat>
          <c:val>
            <c:numRef>
              <c:f>Sheet1!$B$29:$O$29</c:f>
              <c:numCache>
                <c:formatCode>#,##0</c:formatCode>
                <c:ptCount val="14"/>
                <c:pt idx="0">
                  <c:v>60135</c:v>
                </c:pt>
                <c:pt idx="1">
                  <c:v>53748.894015294129</c:v>
                </c:pt>
                <c:pt idx="2">
                  <c:v>61882</c:v>
                </c:pt>
                <c:pt idx="3">
                  <c:v>83115.5</c:v>
                </c:pt>
                <c:pt idx="4">
                  <c:v>85228.0625</c:v>
                </c:pt>
                <c:pt idx="5">
                  <c:v>35346.2578125</c:v>
                </c:pt>
                <c:pt idx="6">
                  <c:v>48836.108007812494</c:v>
                </c:pt>
                <c:pt idx="7">
                  <c:v>58956.75616796875</c:v>
                </c:pt>
                <c:pt idx="8">
                  <c:v>62455.891291328124</c:v>
                </c:pt>
                <c:pt idx="9">
                  <c:v>70965.009117154696</c:v>
                </c:pt>
                <c:pt idx="10">
                  <c:v>66484.309299497778</c:v>
                </c:pt>
                <c:pt idx="11">
                  <c:v>67013.995485487743</c:v>
                </c:pt>
                <c:pt idx="12">
                  <c:v>67554.275395197488</c:v>
                </c:pt>
                <c:pt idx="13">
                  <c:v>63105.360903101442</c:v>
                </c:pt>
              </c:numCache>
            </c:numRef>
          </c:val>
          <c:smooth val="0"/>
          <c:extLst>
            <c:ext xmlns:c16="http://schemas.microsoft.com/office/drawing/2014/chart" uri="{C3380CC4-5D6E-409C-BE32-E72D297353CC}">
              <c16:uniqueId val="{00000004-7CD5-4279-B996-2A2FBEE1CB6E}"/>
            </c:ext>
          </c:extLst>
        </c:ser>
        <c:dLbls>
          <c:showLegendKey val="0"/>
          <c:showVal val="0"/>
          <c:showCatName val="0"/>
          <c:showSerName val="0"/>
          <c:showPercent val="0"/>
          <c:showBubbleSize val="0"/>
        </c:dLbls>
        <c:smooth val="0"/>
        <c:axId val="218226472"/>
        <c:axId val="218225688"/>
      </c:lineChart>
      <c:catAx>
        <c:axId val="218226472"/>
        <c:scaling>
          <c:orientation val="minMax"/>
        </c:scaling>
        <c:delete val="0"/>
        <c:axPos val="b"/>
        <c:numFmt formatCode="General" sourceLinked="1"/>
        <c:majorTickMark val="none"/>
        <c:minorTickMark val="none"/>
        <c:tickLblPos val="nextTo"/>
        <c:crossAx val="218225688"/>
        <c:crosses val="autoZero"/>
        <c:auto val="1"/>
        <c:lblAlgn val="ctr"/>
        <c:lblOffset val="100"/>
        <c:noMultiLvlLbl val="0"/>
      </c:catAx>
      <c:valAx>
        <c:axId val="218225688"/>
        <c:scaling>
          <c:orientation val="minMax"/>
        </c:scaling>
        <c:delete val="0"/>
        <c:axPos val="l"/>
        <c:majorGridlines/>
        <c:numFmt formatCode="#,##0\ &quot;€&quot;" sourceLinked="0"/>
        <c:majorTickMark val="none"/>
        <c:minorTickMark val="none"/>
        <c:tickLblPos val="nextTo"/>
        <c:crossAx val="218226472"/>
        <c:crosses val="autoZero"/>
        <c:crossBetween val="between"/>
      </c:valAx>
    </c:plotArea>
    <c:legend>
      <c:legendPos val="r"/>
      <c:overlay val="0"/>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t-EE"/>
              <a:t>THK gruppide dünaamika</a:t>
            </a:r>
            <a:r>
              <a:rPr lang="et-EE" baseline="0"/>
              <a:t> (</a:t>
            </a:r>
            <a:r>
              <a:rPr lang="et-EE"/>
              <a:t>tuh €)</a:t>
            </a:r>
          </a:p>
        </c:rich>
      </c:tx>
      <c:overlay val="0"/>
    </c:title>
    <c:autoTitleDeleted val="0"/>
    <c:plotArea>
      <c:layout/>
      <c:lineChart>
        <c:grouping val="standard"/>
        <c:varyColors val="0"/>
        <c:ser>
          <c:idx val="0"/>
          <c:order val="0"/>
          <c:tx>
            <c:strRef>
              <c:f>Sheet1!$A$2</c:f>
              <c:strCache>
                <c:ptCount val="1"/>
                <c:pt idx="0">
                  <c:v>Rekonstrueerimine</c:v>
                </c:pt>
              </c:strCache>
            </c:strRef>
          </c:tx>
          <c:marker>
            <c:symbol val="none"/>
          </c:marker>
          <c:cat>
            <c:numRef>
              <c:f>Sheet1!$B$1:$O$1</c:f>
              <c:numCache>
                <c:formatCode>General</c:formatCode>
                <c:ptCount val="14"/>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numCache>
            </c:numRef>
          </c:cat>
          <c:val>
            <c:numRef>
              <c:f>Sheet1!$B$2:$O$2</c:f>
              <c:numCache>
                <c:formatCode>General</c:formatCode>
                <c:ptCount val="14"/>
                <c:pt idx="0">
                  <c:v>43208.5</c:v>
                </c:pt>
                <c:pt idx="1">
                  <c:v>60490.399999999994</c:v>
                </c:pt>
                <c:pt idx="2">
                  <c:v>49379.5</c:v>
                </c:pt>
                <c:pt idx="3">
                  <c:v>42737.999999999993</c:v>
                </c:pt>
                <c:pt idx="4">
                  <c:v>58817.150021405403</c:v>
                </c:pt>
                <c:pt idx="5">
                  <c:v>63935.999999999985</c:v>
                </c:pt>
                <c:pt idx="6">
                  <c:v>57590</c:v>
                </c:pt>
                <c:pt idx="7">
                  <c:v>58741.8</c:v>
                </c:pt>
                <c:pt idx="8">
                  <c:v>59916.636000000006</c:v>
                </c:pt>
                <c:pt idx="9">
                  <c:v>61114.968720000004</c:v>
                </c:pt>
                <c:pt idx="10">
                  <c:v>62337.268094400002</c:v>
                </c:pt>
                <c:pt idx="11">
                  <c:v>63584.013456288005</c:v>
                </c:pt>
                <c:pt idx="12">
                  <c:v>64855.693725413767</c:v>
                </c:pt>
                <c:pt idx="13">
                  <c:v>66152.807599922045</c:v>
                </c:pt>
              </c:numCache>
            </c:numRef>
          </c:val>
          <c:smooth val="0"/>
          <c:extLst>
            <c:ext xmlns:c16="http://schemas.microsoft.com/office/drawing/2014/chart" uri="{C3380CC4-5D6E-409C-BE32-E72D297353CC}">
              <c16:uniqueId val="{00000000-E086-441D-84B8-16247A7EFEBD}"/>
            </c:ext>
          </c:extLst>
        </c:ser>
        <c:ser>
          <c:idx val="1"/>
          <c:order val="1"/>
          <c:tx>
            <c:strRef>
              <c:f>Sheet1!$A$3</c:f>
              <c:strCache>
                <c:ptCount val="1"/>
                <c:pt idx="0">
                  <c:v>Teede hooldamise kulud</c:v>
                </c:pt>
              </c:strCache>
            </c:strRef>
          </c:tx>
          <c:marker>
            <c:symbol val="none"/>
          </c:marker>
          <c:cat>
            <c:numRef>
              <c:f>Sheet1!$B$1:$O$1</c:f>
              <c:numCache>
                <c:formatCode>General</c:formatCode>
                <c:ptCount val="14"/>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numCache>
            </c:numRef>
          </c:cat>
          <c:val>
            <c:numRef>
              <c:f>Sheet1!$B$3:$O$3</c:f>
              <c:numCache>
                <c:formatCode>General</c:formatCode>
                <c:ptCount val="14"/>
                <c:pt idx="0">
                  <c:v>48555</c:v>
                </c:pt>
                <c:pt idx="1">
                  <c:v>50376</c:v>
                </c:pt>
                <c:pt idx="2">
                  <c:v>48623</c:v>
                </c:pt>
                <c:pt idx="3">
                  <c:v>48081.69</c:v>
                </c:pt>
                <c:pt idx="4">
                  <c:v>49000</c:v>
                </c:pt>
                <c:pt idx="5">
                  <c:v>50225</c:v>
                </c:pt>
                <c:pt idx="6">
                  <c:v>51480</c:v>
                </c:pt>
                <c:pt idx="7">
                  <c:v>54050</c:v>
                </c:pt>
                <c:pt idx="8">
                  <c:v>55400</c:v>
                </c:pt>
                <c:pt idx="9">
                  <c:v>56784.999999999993</c:v>
                </c:pt>
                <c:pt idx="10">
                  <c:v>58204.624999999985</c:v>
                </c:pt>
                <c:pt idx="11">
                  <c:v>59659.740624999977</c:v>
                </c:pt>
                <c:pt idx="12">
                  <c:v>61151.234140624969</c:v>
                </c:pt>
                <c:pt idx="13">
                  <c:v>62680.014994140591</c:v>
                </c:pt>
              </c:numCache>
            </c:numRef>
          </c:val>
          <c:smooth val="0"/>
          <c:extLst>
            <c:ext xmlns:c16="http://schemas.microsoft.com/office/drawing/2014/chart" uri="{C3380CC4-5D6E-409C-BE32-E72D297353CC}">
              <c16:uniqueId val="{00000001-E086-441D-84B8-16247A7EFEBD}"/>
            </c:ext>
          </c:extLst>
        </c:ser>
        <c:ser>
          <c:idx val="2"/>
          <c:order val="2"/>
          <c:tx>
            <c:strRef>
              <c:f>Sheet1!$A$4</c:f>
              <c:strCache>
                <c:ptCount val="1"/>
                <c:pt idx="0">
                  <c:v>Ehitus koos lisarahastusega **</c:v>
                </c:pt>
              </c:strCache>
            </c:strRef>
          </c:tx>
          <c:marker>
            <c:symbol val="none"/>
          </c:marker>
          <c:cat>
            <c:numRef>
              <c:f>Sheet1!$B$1:$O$1</c:f>
              <c:numCache>
                <c:formatCode>General</c:formatCode>
                <c:ptCount val="14"/>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numCache>
            </c:numRef>
          </c:cat>
          <c:val>
            <c:numRef>
              <c:f>Sheet1!$B$4:$O$4</c:f>
              <c:numCache>
                <c:formatCode>#,##0</c:formatCode>
                <c:ptCount val="14"/>
                <c:pt idx="0">
                  <c:v>43635</c:v>
                </c:pt>
                <c:pt idx="1">
                  <c:v>40248.894015294129</c:v>
                </c:pt>
                <c:pt idx="2">
                  <c:v>36061</c:v>
                </c:pt>
                <c:pt idx="3">
                  <c:v>59423</c:v>
                </c:pt>
                <c:pt idx="4">
                  <c:v>61000</c:v>
                </c:pt>
                <c:pt idx="5">
                  <c:v>21000</c:v>
                </c:pt>
                <c:pt idx="6">
                  <c:v>66368.7</c:v>
                </c:pt>
                <c:pt idx="7">
                  <c:v>74000</c:v>
                </c:pt>
                <c:pt idx="8">
                  <c:v>77000</c:v>
                </c:pt>
                <c:pt idx="9">
                  <c:v>85000</c:v>
                </c:pt>
                <c:pt idx="10">
                  <c:v>40000</c:v>
                </c:pt>
                <c:pt idx="11">
                  <c:v>40000</c:v>
                </c:pt>
                <c:pt idx="12">
                  <c:v>40000</c:v>
                </c:pt>
                <c:pt idx="13">
                  <c:v>35000.000000100001</c:v>
                </c:pt>
              </c:numCache>
            </c:numRef>
          </c:val>
          <c:smooth val="0"/>
          <c:extLst>
            <c:ext xmlns:c16="http://schemas.microsoft.com/office/drawing/2014/chart" uri="{C3380CC4-5D6E-409C-BE32-E72D297353CC}">
              <c16:uniqueId val="{00000002-E086-441D-84B8-16247A7EFEBD}"/>
            </c:ext>
          </c:extLst>
        </c:ser>
        <c:ser>
          <c:idx val="3"/>
          <c:order val="3"/>
          <c:tx>
            <c:strRef>
              <c:f>Sheet1!$A$5</c:f>
              <c:strCache>
                <c:ptCount val="1"/>
                <c:pt idx="0">
                  <c:v>Ehitus</c:v>
                </c:pt>
              </c:strCache>
            </c:strRef>
          </c:tx>
          <c:marker>
            <c:symbol val="none"/>
          </c:marker>
          <c:cat>
            <c:numRef>
              <c:f>Sheet1!$B$1:$O$1</c:f>
              <c:numCache>
                <c:formatCode>General</c:formatCode>
                <c:ptCount val="14"/>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numCache>
            </c:numRef>
          </c:cat>
          <c:val>
            <c:numRef>
              <c:f>Sheet1!$B$5:$O$5</c:f>
              <c:numCache>
                <c:formatCode>General</c:formatCode>
                <c:ptCount val="14"/>
                <c:pt idx="0">
                  <c:v>43635</c:v>
                </c:pt>
                <c:pt idx="1">
                  <c:v>40248.894015294129</c:v>
                </c:pt>
                <c:pt idx="2">
                  <c:v>36061</c:v>
                </c:pt>
                <c:pt idx="3">
                  <c:v>59423</c:v>
                </c:pt>
                <c:pt idx="4">
                  <c:v>61000</c:v>
                </c:pt>
                <c:pt idx="5">
                  <c:v>11000</c:v>
                </c:pt>
                <c:pt idx="6">
                  <c:v>24368.7</c:v>
                </c:pt>
                <c:pt idx="7">
                  <c:v>34000</c:v>
                </c:pt>
                <c:pt idx="8">
                  <c:v>37000</c:v>
                </c:pt>
                <c:pt idx="9">
                  <c:v>45000</c:v>
                </c:pt>
                <c:pt idx="10">
                  <c:v>40000</c:v>
                </c:pt>
                <c:pt idx="11">
                  <c:v>40000</c:v>
                </c:pt>
                <c:pt idx="12">
                  <c:v>40000</c:v>
                </c:pt>
                <c:pt idx="13">
                  <c:v>35000</c:v>
                </c:pt>
              </c:numCache>
            </c:numRef>
          </c:val>
          <c:smooth val="0"/>
          <c:extLst>
            <c:ext xmlns:c16="http://schemas.microsoft.com/office/drawing/2014/chart" uri="{C3380CC4-5D6E-409C-BE32-E72D297353CC}">
              <c16:uniqueId val="{00000003-E086-441D-84B8-16247A7EFEBD}"/>
            </c:ext>
          </c:extLst>
        </c:ser>
        <c:ser>
          <c:idx val="4"/>
          <c:order val="4"/>
          <c:tx>
            <c:strRef>
              <c:f>Sheet1!$A$6</c:f>
              <c:strCache>
                <c:ptCount val="1"/>
                <c:pt idx="0">
                  <c:v>Admin ja Liiklus KOKKU</c:v>
                </c:pt>
              </c:strCache>
            </c:strRef>
          </c:tx>
          <c:marker>
            <c:symbol val="none"/>
          </c:marker>
          <c:cat>
            <c:numRef>
              <c:f>Sheet1!$B$1:$O$1</c:f>
              <c:numCache>
                <c:formatCode>General</c:formatCode>
                <c:ptCount val="14"/>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numCache>
            </c:numRef>
          </c:cat>
          <c:val>
            <c:numRef>
              <c:f>Sheet1!$B$6:$O$6</c:f>
              <c:numCache>
                <c:formatCode>General</c:formatCode>
                <c:ptCount val="14"/>
                <c:pt idx="0">
                  <c:v>21574</c:v>
                </c:pt>
                <c:pt idx="1">
                  <c:v>22113.35</c:v>
                </c:pt>
                <c:pt idx="2">
                  <c:v>24693</c:v>
                </c:pt>
                <c:pt idx="3">
                  <c:v>25352</c:v>
                </c:pt>
                <c:pt idx="4">
                  <c:v>25989</c:v>
                </c:pt>
                <c:pt idx="5">
                  <c:v>25989</c:v>
                </c:pt>
                <c:pt idx="6">
                  <c:v>26638.724999999999</c:v>
                </c:pt>
                <c:pt idx="7">
                  <c:v>27171.499499999998</c:v>
                </c:pt>
                <c:pt idx="8">
                  <c:v>27714.929489999999</c:v>
                </c:pt>
                <c:pt idx="9">
                  <c:v>28269.228079799999</c:v>
                </c:pt>
                <c:pt idx="10">
                  <c:v>28834.612641396001</c:v>
                </c:pt>
                <c:pt idx="11">
                  <c:v>29411.304894223922</c:v>
                </c:pt>
                <c:pt idx="12">
                  <c:v>29999.530992108401</c:v>
                </c:pt>
                <c:pt idx="13">
                  <c:v>30599.521611950568</c:v>
                </c:pt>
              </c:numCache>
            </c:numRef>
          </c:val>
          <c:smooth val="0"/>
          <c:extLst>
            <c:ext xmlns:c16="http://schemas.microsoft.com/office/drawing/2014/chart" uri="{C3380CC4-5D6E-409C-BE32-E72D297353CC}">
              <c16:uniqueId val="{00000004-E086-441D-84B8-16247A7EFEBD}"/>
            </c:ext>
          </c:extLst>
        </c:ser>
        <c:ser>
          <c:idx val="5"/>
          <c:order val="5"/>
          <c:tx>
            <c:strRef>
              <c:f>Sheet1!$A$7</c:f>
              <c:strCache>
                <c:ptCount val="1"/>
                <c:pt idx="0">
                  <c:v>Kattega teede taastusremont |150-200 km aastas</c:v>
                </c:pt>
              </c:strCache>
            </c:strRef>
          </c:tx>
          <c:marker>
            <c:symbol val="none"/>
          </c:marker>
          <c:cat>
            <c:numRef>
              <c:f>Sheet1!$B$1:$O$1</c:f>
              <c:numCache>
                <c:formatCode>General</c:formatCode>
                <c:ptCount val="14"/>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numCache>
            </c:numRef>
          </c:cat>
          <c:val>
            <c:numRef>
              <c:f>Sheet1!$B$7:$O$7</c:f>
              <c:numCache>
                <c:formatCode>General</c:formatCode>
                <c:ptCount val="14"/>
                <c:pt idx="0">
                  <c:v>27500</c:v>
                </c:pt>
                <c:pt idx="1">
                  <c:v>22788.499999999996</c:v>
                </c:pt>
                <c:pt idx="2">
                  <c:v>23000</c:v>
                </c:pt>
                <c:pt idx="3">
                  <c:v>23000</c:v>
                </c:pt>
                <c:pt idx="4">
                  <c:v>23574.999999999996</c:v>
                </c:pt>
                <c:pt idx="5">
                  <c:v>24164.374999999993</c:v>
                </c:pt>
                <c:pt idx="6">
                  <c:v>24768.484374999989</c:v>
                </c:pt>
                <c:pt idx="7">
                  <c:v>25263.854062499988</c:v>
                </c:pt>
                <c:pt idx="8">
                  <c:v>25769.131143749986</c:v>
                </c:pt>
                <c:pt idx="9">
                  <c:v>26284.513766624987</c:v>
                </c:pt>
                <c:pt idx="10">
                  <c:v>26810.204041957488</c:v>
                </c:pt>
                <c:pt idx="11">
                  <c:v>27346.408122796638</c:v>
                </c:pt>
                <c:pt idx="12">
                  <c:v>27893.336285252572</c:v>
                </c:pt>
                <c:pt idx="13">
                  <c:v>28451.203010957623</c:v>
                </c:pt>
              </c:numCache>
            </c:numRef>
          </c:val>
          <c:smooth val="0"/>
          <c:extLst>
            <c:ext xmlns:c16="http://schemas.microsoft.com/office/drawing/2014/chart" uri="{C3380CC4-5D6E-409C-BE32-E72D297353CC}">
              <c16:uniqueId val="{00000005-E086-441D-84B8-16247A7EFEBD}"/>
            </c:ext>
          </c:extLst>
        </c:ser>
        <c:ser>
          <c:idx val="6"/>
          <c:order val="6"/>
          <c:tx>
            <c:strRef>
              <c:f>Sheet1!$A$8</c:f>
              <c:strCache>
                <c:ptCount val="1"/>
                <c:pt idx="0">
                  <c:v>Kattega teede säilitusremont 900-1200 km aastas</c:v>
                </c:pt>
              </c:strCache>
            </c:strRef>
          </c:tx>
          <c:marker>
            <c:symbol val="none"/>
          </c:marker>
          <c:cat>
            <c:numRef>
              <c:f>Sheet1!$B$1:$O$1</c:f>
              <c:numCache>
                <c:formatCode>General</c:formatCode>
                <c:ptCount val="14"/>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numCache>
            </c:numRef>
          </c:cat>
          <c:val>
            <c:numRef>
              <c:f>Sheet1!$B$8:$O$8</c:f>
              <c:numCache>
                <c:formatCode>General</c:formatCode>
                <c:ptCount val="14"/>
                <c:pt idx="0">
                  <c:v>22301</c:v>
                </c:pt>
                <c:pt idx="1">
                  <c:v>18841.916761176471</c:v>
                </c:pt>
                <c:pt idx="2">
                  <c:v>20000</c:v>
                </c:pt>
                <c:pt idx="3">
                  <c:v>20000</c:v>
                </c:pt>
                <c:pt idx="4">
                  <c:v>20500</c:v>
                </c:pt>
                <c:pt idx="5">
                  <c:v>21012.499999999996</c:v>
                </c:pt>
                <c:pt idx="6">
                  <c:v>21537.812499999993</c:v>
                </c:pt>
                <c:pt idx="7">
                  <c:v>21968.568749999991</c:v>
                </c:pt>
                <c:pt idx="8">
                  <c:v>22407.94012499999</c:v>
                </c:pt>
                <c:pt idx="9">
                  <c:v>22856.098927499992</c:v>
                </c:pt>
                <c:pt idx="10">
                  <c:v>23313.220906049992</c:v>
                </c:pt>
                <c:pt idx="11">
                  <c:v>23779.485324170993</c:v>
                </c:pt>
                <c:pt idx="12">
                  <c:v>24255.075030654414</c:v>
                </c:pt>
                <c:pt idx="13">
                  <c:v>24740.176531267502</c:v>
                </c:pt>
              </c:numCache>
            </c:numRef>
          </c:val>
          <c:smooth val="0"/>
          <c:extLst>
            <c:ext xmlns:c16="http://schemas.microsoft.com/office/drawing/2014/chart" uri="{C3380CC4-5D6E-409C-BE32-E72D297353CC}">
              <c16:uniqueId val="{00000006-E086-441D-84B8-16247A7EFEBD}"/>
            </c:ext>
          </c:extLst>
        </c:ser>
        <c:ser>
          <c:idx val="7"/>
          <c:order val="7"/>
          <c:tx>
            <c:strRef>
              <c:f>Sheet1!$A$9</c:f>
              <c:strCache>
                <c:ptCount val="1"/>
                <c:pt idx="0">
                  <c:v>Programm "Kruusateed tolmuvabaks" riigiteedel |
2014-2015 kuni 50 km, 2016-2017  kuni 100 km, 
alates 2018 kuni 150 km aastas</c:v>
                </c:pt>
              </c:strCache>
            </c:strRef>
          </c:tx>
          <c:marker>
            <c:symbol val="none"/>
          </c:marker>
          <c:cat>
            <c:numRef>
              <c:f>Sheet1!$B$1:$O$1</c:f>
              <c:numCache>
                <c:formatCode>General</c:formatCode>
                <c:ptCount val="14"/>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numCache>
            </c:numRef>
          </c:cat>
          <c:val>
            <c:numRef>
              <c:f>Sheet1!$B$9:$O$9</c:f>
              <c:numCache>
                <c:formatCode>General</c:formatCode>
                <c:ptCount val="14"/>
                <c:pt idx="0">
                  <c:v>4000</c:v>
                </c:pt>
                <c:pt idx="1">
                  <c:v>3000</c:v>
                </c:pt>
                <c:pt idx="2">
                  <c:v>10771</c:v>
                </c:pt>
                <c:pt idx="3">
                  <c:v>9345</c:v>
                </c:pt>
                <c:pt idx="4">
                  <c:v>10000</c:v>
                </c:pt>
                <c:pt idx="5">
                  <c:v>10000</c:v>
                </c:pt>
                <c:pt idx="6">
                  <c:v>10000</c:v>
                </c:pt>
                <c:pt idx="7">
                  <c:v>10200</c:v>
                </c:pt>
                <c:pt idx="8">
                  <c:v>10404</c:v>
                </c:pt>
                <c:pt idx="9">
                  <c:v>10612.08</c:v>
                </c:pt>
                <c:pt idx="10">
                  <c:v>10824.321599999999</c:v>
                </c:pt>
                <c:pt idx="11">
                  <c:v>11040.808031999999</c:v>
                </c:pt>
                <c:pt idx="12">
                  <c:v>11261.62419264</c:v>
                </c:pt>
                <c:pt idx="13">
                  <c:v>11486.8566764928</c:v>
                </c:pt>
              </c:numCache>
            </c:numRef>
          </c:val>
          <c:smooth val="0"/>
          <c:extLst>
            <c:ext xmlns:c16="http://schemas.microsoft.com/office/drawing/2014/chart" uri="{C3380CC4-5D6E-409C-BE32-E72D297353CC}">
              <c16:uniqueId val="{00000007-E086-441D-84B8-16247A7EFEBD}"/>
            </c:ext>
          </c:extLst>
        </c:ser>
        <c:ser>
          <c:idx val="8"/>
          <c:order val="8"/>
          <c:tx>
            <c:strRef>
              <c:f>Sheet1!$A$10</c:f>
              <c:strCache>
                <c:ptCount val="1"/>
                <c:pt idx="0">
                  <c:v>Kruusateede säilitusremont | kuni 400 km aastas</c:v>
                </c:pt>
              </c:strCache>
            </c:strRef>
          </c:tx>
          <c:marker>
            <c:symbol val="none"/>
          </c:marker>
          <c:cat>
            <c:numRef>
              <c:f>Sheet1!$B$1:$O$1</c:f>
              <c:numCache>
                <c:formatCode>General</c:formatCode>
                <c:ptCount val="14"/>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numCache>
            </c:numRef>
          </c:cat>
          <c:val>
            <c:numRef>
              <c:f>Sheet1!$B$10:$O$10</c:f>
              <c:numCache>
                <c:formatCode>General</c:formatCode>
                <c:ptCount val="14"/>
                <c:pt idx="0">
                  <c:v>6180</c:v>
                </c:pt>
                <c:pt idx="1">
                  <c:v>6334.4999999999991</c:v>
                </c:pt>
                <c:pt idx="2">
                  <c:v>8493</c:v>
                </c:pt>
                <c:pt idx="3">
                  <c:v>8500</c:v>
                </c:pt>
                <c:pt idx="4">
                  <c:v>9024</c:v>
                </c:pt>
                <c:pt idx="5">
                  <c:v>8777</c:v>
                </c:pt>
                <c:pt idx="6">
                  <c:v>9060</c:v>
                </c:pt>
                <c:pt idx="7">
                  <c:v>9241.2000000000007</c:v>
                </c:pt>
                <c:pt idx="8">
                  <c:v>9426.0240000000013</c:v>
                </c:pt>
                <c:pt idx="9">
                  <c:v>9614.5444800000023</c:v>
                </c:pt>
                <c:pt idx="10">
                  <c:v>9806.8353696000031</c:v>
                </c:pt>
                <c:pt idx="11">
                  <c:v>10002.972076992004</c:v>
                </c:pt>
                <c:pt idx="12">
                  <c:v>10203.031518531845</c:v>
                </c:pt>
                <c:pt idx="13">
                  <c:v>10407.092148902482</c:v>
                </c:pt>
              </c:numCache>
            </c:numRef>
          </c:val>
          <c:smooth val="0"/>
          <c:extLst>
            <c:ext xmlns:c16="http://schemas.microsoft.com/office/drawing/2014/chart" uri="{C3380CC4-5D6E-409C-BE32-E72D297353CC}">
              <c16:uniqueId val="{00000008-E086-441D-84B8-16247A7EFEBD}"/>
            </c:ext>
          </c:extLst>
        </c:ser>
        <c:ser>
          <c:idx val="9"/>
          <c:order val="9"/>
          <c:tx>
            <c:strRef>
              <c:f>Sheet1!$A$11</c:f>
              <c:strCache>
                <c:ptCount val="1"/>
                <c:pt idx="0">
                  <c:v>Liiklusohtlike kohtade ümberehitus</c:v>
                </c:pt>
              </c:strCache>
            </c:strRef>
          </c:tx>
          <c:marker>
            <c:symbol val="none"/>
          </c:marker>
          <c:cat>
            <c:numRef>
              <c:f>Sheet1!$B$1:$O$1</c:f>
              <c:numCache>
                <c:formatCode>General</c:formatCode>
                <c:ptCount val="14"/>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numCache>
            </c:numRef>
          </c:cat>
          <c:val>
            <c:numRef>
              <c:f>Sheet1!$B$11:$O$11</c:f>
              <c:numCache>
                <c:formatCode>General</c:formatCode>
                <c:ptCount val="14"/>
                <c:pt idx="0">
                  <c:v>7000</c:v>
                </c:pt>
                <c:pt idx="1">
                  <c:v>5000</c:v>
                </c:pt>
                <c:pt idx="2">
                  <c:v>9550</c:v>
                </c:pt>
                <c:pt idx="3">
                  <c:v>9000</c:v>
                </c:pt>
                <c:pt idx="4">
                  <c:v>9000</c:v>
                </c:pt>
                <c:pt idx="5">
                  <c:v>9000</c:v>
                </c:pt>
                <c:pt idx="6">
                  <c:v>9000</c:v>
                </c:pt>
                <c:pt idx="7">
                  <c:v>9180</c:v>
                </c:pt>
                <c:pt idx="8">
                  <c:v>9363.6</c:v>
                </c:pt>
                <c:pt idx="9">
                  <c:v>9550.8720000000012</c:v>
                </c:pt>
                <c:pt idx="10">
                  <c:v>9741.8894400000008</c:v>
                </c:pt>
                <c:pt idx="11">
                  <c:v>9936.7272288000004</c:v>
                </c:pt>
                <c:pt idx="12">
                  <c:v>10135.461773376001</c:v>
                </c:pt>
                <c:pt idx="13">
                  <c:v>10338.171008843521</c:v>
                </c:pt>
              </c:numCache>
            </c:numRef>
          </c:val>
          <c:smooth val="0"/>
          <c:extLst>
            <c:ext xmlns:c16="http://schemas.microsoft.com/office/drawing/2014/chart" uri="{C3380CC4-5D6E-409C-BE32-E72D297353CC}">
              <c16:uniqueId val="{00000009-E086-441D-84B8-16247A7EFEBD}"/>
            </c:ext>
          </c:extLst>
        </c:ser>
        <c:ser>
          <c:idx val="10"/>
          <c:order val="10"/>
          <c:tx>
            <c:strRef>
              <c:f>Sheet1!$A$12</c:f>
              <c:strCache>
                <c:ptCount val="1"/>
                <c:pt idx="0">
                  <c:v>Sildade taasturemontremont |kuni 30 silda aastas</c:v>
                </c:pt>
              </c:strCache>
            </c:strRef>
          </c:tx>
          <c:marker>
            <c:symbol val="none"/>
          </c:marker>
          <c:cat>
            <c:numRef>
              <c:f>Sheet1!$B$1:$O$1</c:f>
              <c:numCache>
                <c:formatCode>General</c:formatCode>
                <c:ptCount val="14"/>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numCache>
            </c:numRef>
          </c:cat>
          <c:val>
            <c:numRef>
              <c:f>Sheet1!$B$12:$O$12</c:f>
              <c:numCache>
                <c:formatCode>General</c:formatCode>
                <c:ptCount val="14"/>
                <c:pt idx="0">
                  <c:v>8629</c:v>
                </c:pt>
                <c:pt idx="1">
                  <c:v>6844.7250000000004</c:v>
                </c:pt>
                <c:pt idx="2">
                  <c:v>7000</c:v>
                </c:pt>
                <c:pt idx="3">
                  <c:v>7174.9999999999991</c:v>
                </c:pt>
                <c:pt idx="4">
                  <c:v>7354.3749999999982</c:v>
                </c:pt>
                <c:pt idx="5">
                  <c:v>7538.2343749999973</c:v>
                </c:pt>
                <c:pt idx="6">
                  <c:v>7726.6902343749962</c:v>
                </c:pt>
                <c:pt idx="7">
                  <c:v>7881.2240390624966</c:v>
                </c:pt>
                <c:pt idx="8">
                  <c:v>8038.8485198437465</c:v>
                </c:pt>
                <c:pt idx="9">
                  <c:v>8199.6254902406217</c:v>
                </c:pt>
                <c:pt idx="10">
                  <c:v>8363.6180000454351</c:v>
                </c:pt>
                <c:pt idx="11">
                  <c:v>8530.8903600463436</c:v>
                </c:pt>
                <c:pt idx="12">
                  <c:v>8701.5081672472716</c:v>
                </c:pt>
                <c:pt idx="13">
                  <c:v>8875.5383305922169</c:v>
                </c:pt>
              </c:numCache>
            </c:numRef>
          </c:val>
          <c:smooth val="0"/>
          <c:extLst>
            <c:ext xmlns:c16="http://schemas.microsoft.com/office/drawing/2014/chart" uri="{C3380CC4-5D6E-409C-BE32-E72D297353CC}">
              <c16:uniqueId val="{0000000A-E086-441D-84B8-16247A7EFEBD}"/>
            </c:ext>
          </c:extLst>
        </c:ser>
        <c:ser>
          <c:idx val="11"/>
          <c:order val="11"/>
          <c:tx>
            <c:strRef>
              <c:f>Sheet1!$A$13</c:f>
              <c:strCache>
                <c:ptCount val="1"/>
                <c:pt idx="0">
                  <c:v>Projektide ettevalmistus</c:v>
                </c:pt>
              </c:strCache>
            </c:strRef>
          </c:tx>
          <c:marker>
            <c:symbol val="none"/>
          </c:marker>
          <c:cat>
            <c:numRef>
              <c:f>Sheet1!$B$1:$O$1</c:f>
              <c:numCache>
                <c:formatCode>General</c:formatCode>
                <c:ptCount val="14"/>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numCache>
            </c:numRef>
          </c:cat>
          <c:val>
            <c:numRef>
              <c:f>Sheet1!$B$13:$O$13</c:f>
              <c:numCache>
                <c:formatCode>General</c:formatCode>
                <c:ptCount val="14"/>
                <c:pt idx="0">
                  <c:v>5000</c:v>
                </c:pt>
                <c:pt idx="1">
                  <c:v>5000</c:v>
                </c:pt>
                <c:pt idx="2">
                  <c:v>4500</c:v>
                </c:pt>
                <c:pt idx="3">
                  <c:v>4612.5</c:v>
                </c:pt>
                <c:pt idx="4">
                  <c:v>4727.8125</c:v>
                </c:pt>
                <c:pt idx="5">
                  <c:v>4846.0078125</c:v>
                </c:pt>
                <c:pt idx="6">
                  <c:v>4967.1580078124998</c:v>
                </c:pt>
                <c:pt idx="7">
                  <c:v>5066.5011679687495</c:v>
                </c:pt>
                <c:pt idx="8">
                  <c:v>5167.831191328125</c:v>
                </c:pt>
                <c:pt idx="9">
                  <c:v>5271.187815154688</c:v>
                </c:pt>
                <c:pt idx="10">
                  <c:v>5376.6115714577818</c:v>
                </c:pt>
                <c:pt idx="11">
                  <c:v>5484.1438028869379</c:v>
                </c:pt>
                <c:pt idx="12">
                  <c:v>5593.826678944677</c:v>
                </c:pt>
                <c:pt idx="13">
                  <c:v>5705.703212523571</c:v>
                </c:pt>
              </c:numCache>
            </c:numRef>
          </c:val>
          <c:smooth val="0"/>
          <c:extLst>
            <c:ext xmlns:c16="http://schemas.microsoft.com/office/drawing/2014/chart" uri="{C3380CC4-5D6E-409C-BE32-E72D297353CC}">
              <c16:uniqueId val="{0000000B-E086-441D-84B8-16247A7EFEBD}"/>
            </c:ext>
          </c:extLst>
        </c:ser>
        <c:ser>
          <c:idx val="12"/>
          <c:order val="12"/>
          <c:tx>
            <c:strRef>
              <c:f>Sheet1!$A$14</c:f>
              <c:strCache>
                <c:ptCount val="1"/>
                <c:pt idx="0">
                  <c:v>Müratõkked</c:v>
                </c:pt>
              </c:strCache>
            </c:strRef>
          </c:tx>
          <c:marker>
            <c:symbol val="none"/>
          </c:marker>
          <c:cat>
            <c:numRef>
              <c:f>Sheet1!$B$1:$O$1</c:f>
              <c:numCache>
                <c:formatCode>General</c:formatCode>
                <c:ptCount val="14"/>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numCache>
            </c:numRef>
          </c:cat>
          <c:val>
            <c:numRef>
              <c:f>Sheet1!$B$14:$O$14</c:f>
              <c:numCache>
                <c:formatCode>General</c:formatCode>
                <c:ptCount val="14"/>
                <c:pt idx="0">
                  <c:v>500</c:v>
                </c:pt>
                <c:pt idx="1">
                  <c:v>500</c:v>
                </c:pt>
                <c:pt idx="2">
                  <c:v>1000</c:v>
                </c:pt>
                <c:pt idx="3">
                  <c:v>735</c:v>
                </c:pt>
                <c:pt idx="4">
                  <c:v>500.25</c:v>
                </c:pt>
                <c:pt idx="5">
                  <c:v>500.25</c:v>
                </c:pt>
                <c:pt idx="6">
                  <c:v>500.25</c:v>
                </c:pt>
                <c:pt idx="7">
                  <c:v>510.255</c:v>
                </c:pt>
                <c:pt idx="8">
                  <c:v>520.46010000000001</c:v>
                </c:pt>
                <c:pt idx="9">
                  <c:v>530.86930200000006</c:v>
                </c:pt>
                <c:pt idx="10">
                  <c:v>541.4866880400001</c:v>
                </c:pt>
                <c:pt idx="11">
                  <c:v>552.31642180080007</c:v>
                </c:pt>
                <c:pt idx="12">
                  <c:v>563.36275023681605</c:v>
                </c:pt>
                <c:pt idx="13">
                  <c:v>574.63000524155234</c:v>
                </c:pt>
              </c:numCache>
            </c:numRef>
          </c:val>
          <c:smooth val="0"/>
          <c:extLst>
            <c:ext xmlns:c16="http://schemas.microsoft.com/office/drawing/2014/chart" uri="{C3380CC4-5D6E-409C-BE32-E72D297353CC}">
              <c16:uniqueId val="{0000000C-E086-441D-84B8-16247A7EFEBD}"/>
            </c:ext>
          </c:extLst>
        </c:ser>
        <c:dLbls>
          <c:showLegendKey val="0"/>
          <c:showVal val="0"/>
          <c:showCatName val="0"/>
          <c:showSerName val="0"/>
          <c:showPercent val="0"/>
          <c:showBubbleSize val="0"/>
        </c:dLbls>
        <c:smooth val="0"/>
        <c:axId val="218226864"/>
        <c:axId val="218227256"/>
      </c:lineChart>
      <c:catAx>
        <c:axId val="218226864"/>
        <c:scaling>
          <c:orientation val="minMax"/>
        </c:scaling>
        <c:delete val="0"/>
        <c:axPos val="b"/>
        <c:numFmt formatCode="General" sourceLinked="1"/>
        <c:majorTickMark val="none"/>
        <c:minorTickMark val="none"/>
        <c:tickLblPos val="nextTo"/>
        <c:crossAx val="218227256"/>
        <c:crossesAt val="0"/>
        <c:auto val="1"/>
        <c:lblAlgn val="ctr"/>
        <c:lblOffset val="100"/>
        <c:noMultiLvlLbl val="0"/>
      </c:catAx>
      <c:valAx>
        <c:axId val="218227256"/>
        <c:scaling>
          <c:orientation val="minMax"/>
        </c:scaling>
        <c:delete val="0"/>
        <c:axPos val="l"/>
        <c:majorGridlines/>
        <c:numFmt formatCode="#,##0\ &quot;€&quot;" sourceLinked="0"/>
        <c:majorTickMark val="none"/>
        <c:minorTickMark val="none"/>
        <c:tickLblPos val="nextTo"/>
        <c:crossAx val="218226864"/>
        <c:crosses val="autoZero"/>
        <c:crossBetween val="between"/>
      </c:valAx>
    </c:plotArea>
    <c:legend>
      <c:legendPos val="r"/>
      <c:layout>
        <c:manualLayout>
          <c:xMode val="edge"/>
          <c:yMode val="edge"/>
          <c:x val="0.7292179506973393"/>
          <c:y val="3.9990796997633488E-3"/>
          <c:w val="0.23312016880242914"/>
          <c:h val="0.99600092030023668"/>
        </c:manualLayout>
      </c:layout>
      <c:overlay val="0"/>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24</xdr:col>
      <xdr:colOff>11206</xdr:colOff>
      <xdr:row>0</xdr:row>
      <xdr:rowOff>0</xdr:rowOff>
    </xdr:from>
    <xdr:to>
      <xdr:col>40</xdr:col>
      <xdr:colOff>22411</xdr:colOff>
      <xdr:row>18</xdr:row>
      <xdr:rowOff>11206</xdr:rowOff>
    </xdr:to>
    <xdr:graphicFrame macro="">
      <xdr:nvGraphicFramePr>
        <xdr:cNvPr id="3" name="Chart 2">
          <a:extLst>
            <a:ext uri="{FF2B5EF4-FFF2-40B4-BE49-F238E27FC236}">
              <a16:creationId xmlns:a16="http://schemas.microsoft.com/office/drawing/2014/main" id="{00000000-0008-0000-0B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24</xdr:col>
      <xdr:colOff>1</xdr:colOff>
      <xdr:row>17</xdr:row>
      <xdr:rowOff>205067</xdr:rowOff>
    </xdr:from>
    <xdr:to>
      <xdr:col>40</xdr:col>
      <xdr:colOff>33618</xdr:colOff>
      <xdr:row>52</xdr:row>
      <xdr:rowOff>145676</xdr:rowOff>
    </xdr:to>
    <xdr:graphicFrame macro="">
      <xdr:nvGraphicFramePr>
        <xdr:cNvPr id="4" name="Chart 3">
          <a:extLst>
            <a:ext uri="{FF2B5EF4-FFF2-40B4-BE49-F238E27FC236}">
              <a16:creationId xmlns:a16="http://schemas.microsoft.com/office/drawing/2014/main" id="{00000000-0008-0000-0B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ts.local\dfs$\mnt_users\kersti.saare\Desktop\Kruusateed%202017\24.05.2017\2018%20-%202020%20regioonide%20esitatud%20ettepanekud%2002.06.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ts.local\dfs$\mnt_users\martin.lengi\Desktop\THK%202014-2020%20muutmine%202017\Sildade%20taastusremondi%20nimekiri%202018-2021.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mkmmnt\THK2014-2020\THK%202014-2020%20muutmine%202015\Koopia%20failist%20THK%20finantsplaan%202016_2021%20rek%20ja%20ehitus%20ettepanek%2005%2011%202015%20Julia.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ts\dfs$\mkmmnt\THK2014-2020\THK%202014-2020%20muutmine%202015\Koopia%20failist%20THK%20finantsplaan%202016_2021%20rek%20ja%20ehitus%20ettepanek%2005%2011%202015%20Jul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ruusateed"/>
      <sheetName val="katte ehitus eemald."/>
      <sheetName val="2017 rem eemald."/>
      <sheetName val="Leht1"/>
    </sheetNames>
    <sheetDataSet>
      <sheetData sheetId="0">
        <row r="2">
          <cell r="Q2">
            <v>0.88857142857142857</v>
          </cell>
          <cell r="R2">
            <v>0.99940828402366866</v>
          </cell>
          <cell r="S2">
            <v>0</v>
          </cell>
          <cell r="T2">
            <v>0</v>
          </cell>
          <cell r="U2">
            <v>0.75</v>
          </cell>
          <cell r="V2">
            <v>0.74635922330097082</v>
          </cell>
        </row>
        <row r="3">
          <cell r="Q3">
            <v>0.29714285714285715</v>
          </cell>
          <cell r="R3">
            <v>0.99940828402366866</v>
          </cell>
          <cell r="S3">
            <v>1</v>
          </cell>
          <cell r="T3">
            <v>0.99950433705080544</v>
          </cell>
          <cell r="U3">
            <v>0.75</v>
          </cell>
          <cell r="V3">
            <v>1.1793680297397771</v>
          </cell>
        </row>
        <row r="4">
          <cell r="Q4">
            <v>0.18571428571428572</v>
          </cell>
          <cell r="R4">
            <v>0.99940828402366866</v>
          </cell>
          <cell r="S4">
            <v>1</v>
          </cell>
          <cell r="T4">
            <v>0</v>
          </cell>
          <cell r="U4">
            <v>0.75</v>
          </cell>
          <cell r="V4">
            <v>1.5633409133977638</v>
          </cell>
        </row>
        <row r="5">
          <cell r="Q5">
            <v>0.69142857142857139</v>
          </cell>
          <cell r="R5">
            <v>0.99940828402366866</v>
          </cell>
          <cell r="S5">
            <v>0</v>
          </cell>
          <cell r="T5">
            <v>0</v>
          </cell>
          <cell r="U5">
            <v>0.75</v>
          </cell>
          <cell r="V5">
            <v>0.75</v>
          </cell>
        </row>
        <row r="6">
          <cell r="Q6">
            <v>1</v>
          </cell>
          <cell r="R6">
            <v>0.99940828402366866</v>
          </cell>
          <cell r="S6">
            <v>1</v>
          </cell>
          <cell r="T6">
            <v>0</v>
          </cell>
          <cell r="U6">
            <v>0.5</v>
          </cell>
          <cell r="V6">
            <v>0</v>
          </cell>
        </row>
        <row r="7">
          <cell r="Q7">
            <v>0.22857142857142856</v>
          </cell>
          <cell r="R7">
            <v>0.99940828402366866</v>
          </cell>
          <cell r="S7">
            <v>0</v>
          </cell>
          <cell r="T7">
            <v>0</v>
          </cell>
          <cell r="U7">
            <v>0.75</v>
          </cell>
          <cell r="V7">
            <v>1.6061704646345072</v>
          </cell>
        </row>
        <row r="8">
          <cell r="Q8">
            <v>7.4285714285714288E-2</v>
          </cell>
          <cell r="R8">
            <v>0.99940828402366866</v>
          </cell>
          <cell r="S8">
            <v>0</v>
          </cell>
          <cell r="T8">
            <v>0.33060718711276332</v>
          </cell>
          <cell r="U8">
            <v>0.75</v>
          </cell>
          <cell r="V8">
            <v>1.75</v>
          </cell>
        </row>
        <row r="9">
          <cell r="Q9">
            <v>1</v>
          </cell>
          <cell r="R9">
            <v>0.99940828402366866</v>
          </cell>
          <cell r="S9">
            <v>0</v>
          </cell>
          <cell r="T9">
            <v>0</v>
          </cell>
          <cell r="U9">
            <v>0.75</v>
          </cell>
          <cell r="V9">
            <v>0</v>
          </cell>
        </row>
        <row r="10">
          <cell r="Q10">
            <v>5.4285714285714284E-2</v>
          </cell>
          <cell r="R10">
            <v>0.99940828402366866</v>
          </cell>
          <cell r="S10">
            <v>0</v>
          </cell>
          <cell r="T10">
            <v>0.26098418277680141</v>
          </cell>
          <cell r="U10">
            <v>0.75</v>
          </cell>
          <cell r="V10">
            <v>1.75</v>
          </cell>
        </row>
        <row r="11">
          <cell r="Q11">
            <v>8.8571428571428565E-2</v>
          </cell>
          <cell r="R11">
            <v>0.99940828402366866</v>
          </cell>
          <cell r="S11">
            <v>0</v>
          </cell>
          <cell r="T11">
            <v>3.7162162162162164E-3</v>
          </cell>
          <cell r="U11">
            <v>0.75</v>
          </cell>
          <cell r="V11">
            <v>1.75</v>
          </cell>
        </row>
        <row r="12">
          <cell r="Q12">
            <v>0.69142857142857139</v>
          </cell>
          <cell r="R12">
            <v>0.99940828402366866</v>
          </cell>
          <cell r="S12">
            <v>0</v>
          </cell>
          <cell r="T12">
            <v>0</v>
          </cell>
          <cell r="U12">
            <v>0.5</v>
          </cell>
          <cell r="V12">
            <v>0.75</v>
          </cell>
        </row>
        <row r="13">
          <cell r="Q13">
            <v>0.91714285714285715</v>
          </cell>
          <cell r="R13">
            <v>0.99940828402366866</v>
          </cell>
          <cell r="S13">
            <v>0</v>
          </cell>
          <cell r="T13">
            <v>0</v>
          </cell>
          <cell r="U13">
            <v>0.75</v>
          </cell>
          <cell r="V13">
            <v>0</v>
          </cell>
        </row>
        <row r="14">
          <cell r="Q14">
            <v>1</v>
          </cell>
          <cell r="R14">
            <v>0.99940828402366866</v>
          </cell>
          <cell r="S14">
            <v>0</v>
          </cell>
          <cell r="T14">
            <v>1</v>
          </cell>
          <cell r="U14">
            <v>0.25</v>
          </cell>
          <cell r="V14">
            <v>0</v>
          </cell>
        </row>
        <row r="15">
          <cell r="Q15">
            <v>0.91142857142857148</v>
          </cell>
          <cell r="R15">
            <v>0.99940828402366866</v>
          </cell>
          <cell r="S15">
            <v>0</v>
          </cell>
          <cell r="T15">
            <v>0</v>
          </cell>
          <cell r="U15">
            <v>0</v>
          </cell>
          <cell r="V15">
            <v>0.75</v>
          </cell>
        </row>
        <row r="16">
          <cell r="Q16">
            <v>0.21714285714285714</v>
          </cell>
          <cell r="R16">
            <v>0.99940828402366866</v>
          </cell>
          <cell r="S16">
            <v>0</v>
          </cell>
          <cell r="T16">
            <v>0</v>
          </cell>
          <cell r="U16">
            <v>1</v>
          </cell>
          <cell r="V16">
            <v>1.1374369555249886</v>
          </cell>
        </row>
        <row r="17">
          <cell r="Q17">
            <v>0.52285714285714291</v>
          </cell>
          <cell r="R17">
            <v>0.99940828402366866</v>
          </cell>
          <cell r="S17">
            <v>0</v>
          </cell>
          <cell r="T17">
            <v>0</v>
          </cell>
          <cell r="U17">
            <v>0.5</v>
          </cell>
          <cell r="V17">
            <v>0.96338672768878719</v>
          </cell>
        </row>
        <row r="18">
          <cell r="Q18">
            <v>1</v>
          </cell>
          <cell r="R18">
            <v>0.99940828402366866</v>
          </cell>
          <cell r="S18">
            <v>0</v>
          </cell>
          <cell r="T18">
            <v>0</v>
          </cell>
          <cell r="U18">
            <v>0.5</v>
          </cell>
          <cell r="V18">
            <v>0</v>
          </cell>
        </row>
        <row r="19">
          <cell r="Q19">
            <v>0.44857142857142857</v>
          </cell>
          <cell r="R19">
            <v>0.99940828402366866</v>
          </cell>
          <cell r="S19">
            <v>0</v>
          </cell>
          <cell r="T19">
            <v>1</v>
          </cell>
          <cell r="U19">
            <v>0.5</v>
          </cell>
          <cell r="V19">
            <v>0.75</v>
          </cell>
        </row>
        <row r="20">
          <cell r="Q20">
            <v>0.36857142857142855</v>
          </cell>
          <cell r="R20">
            <v>0.99940828402366866</v>
          </cell>
          <cell r="S20">
            <v>0</v>
          </cell>
          <cell r="T20">
            <v>0.72394998396922094</v>
          </cell>
          <cell r="U20">
            <v>0.75</v>
          </cell>
          <cell r="V20">
            <v>0.75</v>
          </cell>
        </row>
        <row r="21">
          <cell r="Q21">
            <v>0.31428571428571428</v>
          </cell>
          <cell r="R21">
            <v>0.99940828402366866</v>
          </cell>
          <cell r="S21">
            <v>0</v>
          </cell>
          <cell r="T21">
            <v>1</v>
          </cell>
          <cell r="U21">
            <v>0.75</v>
          </cell>
          <cell r="V21">
            <v>0.75</v>
          </cell>
        </row>
        <row r="22">
          <cell r="Q22">
            <v>0.81428571428571428</v>
          </cell>
          <cell r="R22">
            <v>0.99940828402366866</v>
          </cell>
          <cell r="S22">
            <v>0</v>
          </cell>
          <cell r="T22">
            <v>0.99969135802469133</v>
          </cell>
          <cell r="U22">
            <v>0.5</v>
          </cell>
          <cell r="V22">
            <v>0</v>
          </cell>
        </row>
        <row r="23">
          <cell r="Q23">
            <v>0.85142857142857142</v>
          </cell>
          <cell r="R23">
            <v>0.99940828402366866</v>
          </cell>
          <cell r="S23">
            <v>0</v>
          </cell>
          <cell r="T23">
            <v>0</v>
          </cell>
          <cell r="U23">
            <v>0.75</v>
          </cell>
          <cell r="V23">
            <v>0</v>
          </cell>
        </row>
        <row r="24">
          <cell r="Q24">
            <v>0.55428571428571427</v>
          </cell>
          <cell r="R24">
            <v>0.99940828402366866</v>
          </cell>
          <cell r="S24">
            <v>0</v>
          </cell>
          <cell r="T24">
            <v>1</v>
          </cell>
          <cell r="U24">
            <v>0.75</v>
          </cell>
          <cell r="V24">
            <v>0.22791916167664672</v>
          </cell>
        </row>
        <row r="25">
          <cell r="Q25">
            <v>0.28857142857142859</v>
          </cell>
          <cell r="R25">
            <v>0.99940828402366866</v>
          </cell>
          <cell r="S25">
            <v>0</v>
          </cell>
          <cell r="T25">
            <v>1</v>
          </cell>
          <cell r="U25">
            <v>0.75</v>
          </cell>
          <cell r="V25">
            <v>0.74905761981690899</v>
          </cell>
        </row>
        <row r="26">
          <cell r="Q26">
            <v>0.31428571428571428</v>
          </cell>
          <cell r="R26">
            <v>0.99940828402366866</v>
          </cell>
          <cell r="S26">
            <v>0</v>
          </cell>
          <cell r="T26">
            <v>1</v>
          </cell>
          <cell r="U26">
            <v>0.75</v>
          </cell>
          <cell r="V26">
            <v>0.67567567567567566</v>
          </cell>
        </row>
        <row r="27">
          <cell r="Q27">
            <v>0.51714285714285713</v>
          </cell>
          <cell r="R27">
            <v>0.99940828402366866</v>
          </cell>
          <cell r="S27">
            <v>0</v>
          </cell>
          <cell r="T27">
            <v>1</v>
          </cell>
          <cell r="U27">
            <v>1</v>
          </cell>
          <cell r="V27">
            <v>0</v>
          </cell>
        </row>
        <row r="28">
          <cell r="Q28">
            <v>0.80857142857142861</v>
          </cell>
          <cell r="R28">
            <v>0.99940828402366866</v>
          </cell>
          <cell r="S28">
            <v>0</v>
          </cell>
          <cell r="T28">
            <v>0</v>
          </cell>
          <cell r="U28">
            <v>0.75</v>
          </cell>
          <cell r="V28">
            <v>0</v>
          </cell>
        </row>
        <row r="29">
          <cell r="Q29">
            <v>0.25714285714285712</v>
          </cell>
          <cell r="R29">
            <v>0.99940828402366866</v>
          </cell>
          <cell r="S29">
            <v>0</v>
          </cell>
          <cell r="T29">
            <v>1</v>
          </cell>
          <cell r="U29">
            <v>0.75</v>
          </cell>
          <cell r="V29">
            <v>0.75</v>
          </cell>
        </row>
        <row r="30">
          <cell r="Q30">
            <v>0.2857142857142857</v>
          </cell>
          <cell r="R30">
            <v>0.99940828402366866</v>
          </cell>
          <cell r="S30">
            <v>0</v>
          </cell>
          <cell r="T30">
            <v>1</v>
          </cell>
          <cell r="U30">
            <v>0.75</v>
          </cell>
          <cell r="V30">
            <v>0.68884615384615389</v>
          </cell>
        </row>
        <row r="31">
          <cell r="Q31">
            <v>1</v>
          </cell>
          <cell r="R31">
            <v>0.99940828402366866</v>
          </cell>
          <cell r="S31">
            <v>0</v>
          </cell>
          <cell r="T31">
            <v>1</v>
          </cell>
          <cell r="U31">
            <v>0</v>
          </cell>
          <cell r="V31">
            <v>0</v>
          </cell>
        </row>
        <row r="32">
          <cell r="Q32">
            <v>5.1428571428571428E-2</v>
          </cell>
          <cell r="R32">
            <v>0.99940828402366866</v>
          </cell>
          <cell r="S32">
            <v>0</v>
          </cell>
          <cell r="T32">
            <v>0</v>
          </cell>
          <cell r="U32">
            <v>0.75</v>
          </cell>
          <cell r="V32">
            <v>1.4260515021459228</v>
          </cell>
        </row>
        <row r="33">
          <cell r="Q33">
            <v>0.38857142857142857</v>
          </cell>
          <cell r="R33">
            <v>0.99940828402366866</v>
          </cell>
          <cell r="S33">
            <v>0</v>
          </cell>
          <cell r="T33">
            <v>0</v>
          </cell>
          <cell r="U33">
            <v>0.75</v>
          </cell>
          <cell r="V33">
            <v>0.75</v>
          </cell>
        </row>
        <row r="34">
          <cell r="Q34">
            <v>0.22285714285714286</v>
          </cell>
          <cell r="R34">
            <v>0.99940828402366866</v>
          </cell>
          <cell r="S34">
            <v>0</v>
          </cell>
          <cell r="T34">
            <v>1</v>
          </cell>
          <cell r="U34">
            <v>0.75</v>
          </cell>
          <cell r="V34">
            <v>0.73708894283822557</v>
          </cell>
        </row>
        <row r="35">
          <cell r="Q35">
            <v>0.75142857142857145</v>
          </cell>
          <cell r="R35">
            <v>0.99940828402366866</v>
          </cell>
          <cell r="S35">
            <v>0</v>
          </cell>
          <cell r="T35">
            <v>0</v>
          </cell>
          <cell r="U35">
            <v>0.75</v>
          </cell>
          <cell r="V35">
            <v>0</v>
          </cell>
        </row>
        <row r="36">
          <cell r="Q36">
            <v>0.32857142857142857</v>
          </cell>
          <cell r="R36">
            <v>0.99940828402366866</v>
          </cell>
          <cell r="S36">
            <v>1</v>
          </cell>
          <cell r="T36">
            <v>2.67022696929239E-2</v>
          </cell>
          <cell r="U36">
            <v>0.5</v>
          </cell>
          <cell r="V36">
            <v>0.75</v>
          </cell>
        </row>
        <row r="37">
          <cell r="Q37">
            <v>0.29428571428571426</v>
          </cell>
          <cell r="R37">
            <v>0.99940828402366866</v>
          </cell>
          <cell r="S37">
            <v>0</v>
          </cell>
          <cell r="T37">
            <v>0.47364655378010972</v>
          </cell>
          <cell r="U37">
            <v>0.75</v>
          </cell>
          <cell r="V37">
            <v>0.74642260911042213</v>
          </cell>
        </row>
        <row r="38">
          <cell r="Q38">
            <v>0.36857142857142855</v>
          </cell>
          <cell r="R38">
            <v>0.99940828402366866</v>
          </cell>
          <cell r="S38">
            <v>0</v>
          </cell>
          <cell r="T38">
            <v>0</v>
          </cell>
          <cell r="U38">
            <v>0.75</v>
          </cell>
          <cell r="V38">
            <v>0.74692496924969254</v>
          </cell>
        </row>
        <row r="39">
          <cell r="Q39">
            <v>0.19714285714285715</v>
          </cell>
          <cell r="R39">
            <v>0.99940828402366866</v>
          </cell>
          <cell r="S39">
            <v>0</v>
          </cell>
          <cell r="T39">
            <v>1</v>
          </cell>
          <cell r="U39">
            <v>0.75</v>
          </cell>
          <cell r="V39">
            <v>0.75</v>
          </cell>
        </row>
        <row r="40">
          <cell r="Q40">
            <v>0.65428571428571425</v>
          </cell>
          <cell r="R40">
            <v>0.99940828402366866</v>
          </cell>
          <cell r="S40">
            <v>1</v>
          </cell>
          <cell r="T40">
            <v>1</v>
          </cell>
          <cell r="U40">
            <v>0.25</v>
          </cell>
          <cell r="V40">
            <v>0</v>
          </cell>
        </row>
        <row r="41">
          <cell r="Q41">
            <v>0.19142857142857142</v>
          </cell>
          <cell r="R41">
            <v>0.99940828402366866</v>
          </cell>
          <cell r="S41">
            <v>0</v>
          </cell>
          <cell r="T41">
            <v>1</v>
          </cell>
          <cell r="U41">
            <v>0.75</v>
          </cell>
          <cell r="V41">
            <v>0.75</v>
          </cell>
        </row>
        <row r="42">
          <cell r="Q42">
            <v>0.18857142857142858</v>
          </cell>
          <cell r="R42">
            <v>0.99940828402366866</v>
          </cell>
          <cell r="S42">
            <v>1</v>
          </cell>
          <cell r="T42">
            <v>0</v>
          </cell>
          <cell r="U42">
            <v>0.75</v>
          </cell>
          <cell r="V42">
            <v>0.75</v>
          </cell>
        </row>
        <row r="43">
          <cell r="Q43">
            <v>0.18571428571428572</v>
          </cell>
          <cell r="R43">
            <v>0.99940828402366866</v>
          </cell>
          <cell r="S43">
            <v>0</v>
          </cell>
          <cell r="T43">
            <v>1</v>
          </cell>
          <cell r="U43">
            <v>0.75</v>
          </cell>
          <cell r="V43">
            <v>0.75</v>
          </cell>
        </row>
        <row r="44">
          <cell r="Q44">
            <v>0.24285714285714285</v>
          </cell>
          <cell r="R44">
            <v>0.99940828402366866</v>
          </cell>
          <cell r="S44">
            <v>0</v>
          </cell>
          <cell r="T44">
            <v>0.99925691993312282</v>
          </cell>
          <cell r="U44">
            <v>0.75</v>
          </cell>
          <cell r="V44">
            <v>0.63003901170351106</v>
          </cell>
        </row>
        <row r="45">
          <cell r="Q45">
            <v>0.3457142857142857</v>
          </cell>
          <cell r="R45">
            <v>0.99940828402366866</v>
          </cell>
          <cell r="S45">
            <v>0</v>
          </cell>
          <cell r="T45">
            <v>0</v>
          </cell>
          <cell r="U45">
            <v>0.75</v>
          </cell>
          <cell r="V45">
            <v>0.74871134020618557</v>
          </cell>
        </row>
        <row r="46">
          <cell r="Q46">
            <v>0.38571428571428573</v>
          </cell>
          <cell r="R46">
            <v>0.99940828402366866</v>
          </cell>
          <cell r="S46">
            <v>1</v>
          </cell>
          <cell r="T46">
            <v>1</v>
          </cell>
          <cell r="U46">
            <v>0.75</v>
          </cell>
          <cell r="V46">
            <v>0</v>
          </cell>
        </row>
        <row r="47">
          <cell r="Q47">
            <v>0.42285714285714288</v>
          </cell>
          <cell r="R47">
            <v>0.99940828402366866</v>
          </cell>
          <cell r="S47">
            <v>1</v>
          </cell>
          <cell r="T47">
            <v>1</v>
          </cell>
          <cell r="U47">
            <v>0.25</v>
          </cell>
          <cell r="V47">
            <v>0.42245199409158052</v>
          </cell>
        </row>
        <row r="48">
          <cell r="Q48">
            <v>0.46571428571428569</v>
          </cell>
          <cell r="R48">
            <v>0.99940828402366866</v>
          </cell>
          <cell r="S48">
            <v>0</v>
          </cell>
          <cell r="T48">
            <v>0</v>
          </cell>
          <cell r="U48">
            <v>0.5</v>
          </cell>
          <cell r="V48">
            <v>0.74889462048636701</v>
          </cell>
        </row>
        <row r="49">
          <cell r="Q49">
            <v>0.42285714285714288</v>
          </cell>
          <cell r="R49">
            <v>0.99940828402366866</v>
          </cell>
          <cell r="S49">
            <v>1</v>
          </cell>
          <cell r="T49">
            <v>0</v>
          </cell>
          <cell r="U49">
            <v>1</v>
          </cell>
          <cell r="V49">
            <v>0</v>
          </cell>
        </row>
        <row r="50">
          <cell r="Q50">
            <v>0.12571428571428572</v>
          </cell>
          <cell r="R50">
            <v>0.99940828402366866</v>
          </cell>
          <cell r="S50">
            <v>0</v>
          </cell>
          <cell r="T50">
            <v>0.20990187332738627</v>
          </cell>
          <cell r="U50">
            <v>0.75</v>
          </cell>
          <cell r="V50">
            <v>1.1005798394290811</v>
          </cell>
        </row>
        <row r="51">
          <cell r="Q51">
            <v>0.5</v>
          </cell>
          <cell r="R51">
            <v>0.99940828402366866</v>
          </cell>
          <cell r="S51">
            <v>1</v>
          </cell>
          <cell r="T51">
            <v>1</v>
          </cell>
          <cell r="U51">
            <v>0.5</v>
          </cell>
          <cell r="V51">
            <v>0</v>
          </cell>
        </row>
        <row r="52">
          <cell r="Q52">
            <v>0.5</v>
          </cell>
          <cell r="R52">
            <v>0.99940828402366866</v>
          </cell>
          <cell r="S52">
            <v>1</v>
          </cell>
          <cell r="T52">
            <v>1</v>
          </cell>
          <cell r="U52">
            <v>0.5</v>
          </cell>
          <cell r="V52">
            <v>0</v>
          </cell>
        </row>
        <row r="53">
          <cell r="Q53">
            <v>0.20285714285714285</v>
          </cell>
          <cell r="R53">
            <v>0.99940828402366866</v>
          </cell>
          <cell r="S53">
            <v>0</v>
          </cell>
          <cell r="T53">
            <v>0</v>
          </cell>
          <cell r="U53">
            <v>1</v>
          </cell>
          <cell r="V53">
            <v>0.75</v>
          </cell>
        </row>
        <row r="54">
          <cell r="Q54">
            <v>0.20285714285714285</v>
          </cell>
          <cell r="R54">
            <v>0.99940828402366866</v>
          </cell>
          <cell r="S54">
            <v>0</v>
          </cell>
          <cell r="T54">
            <v>0</v>
          </cell>
          <cell r="U54">
            <v>1</v>
          </cell>
          <cell r="V54">
            <v>0.75</v>
          </cell>
        </row>
        <row r="55">
          <cell r="Q55">
            <v>0.20285714285714285</v>
          </cell>
          <cell r="R55">
            <v>0.99940828402366866</v>
          </cell>
          <cell r="S55">
            <v>0</v>
          </cell>
          <cell r="T55">
            <v>0</v>
          </cell>
          <cell r="U55">
            <v>1</v>
          </cell>
          <cell r="V55">
            <v>0.75</v>
          </cell>
        </row>
        <row r="56">
          <cell r="Q56">
            <v>0.2</v>
          </cell>
          <cell r="R56">
            <v>0.99940828402366866</v>
          </cell>
          <cell r="S56">
            <v>0</v>
          </cell>
          <cell r="T56">
            <v>1.1571841851494697E-2</v>
          </cell>
          <cell r="U56">
            <v>0.5</v>
          </cell>
          <cell r="V56">
            <v>1.25</v>
          </cell>
        </row>
        <row r="57">
          <cell r="Q57">
            <v>0.14571428571428571</v>
          </cell>
          <cell r="R57">
            <v>0.99940828402366866</v>
          </cell>
          <cell r="S57">
            <v>0</v>
          </cell>
          <cell r="T57">
            <v>1</v>
          </cell>
          <cell r="U57">
            <v>0.75</v>
          </cell>
          <cell r="V57">
            <v>0.75</v>
          </cell>
        </row>
        <row r="58">
          <cell r="Q58">
            <v>0.3914285714285714</v>
          </cell>
          <cell r="R58">
            <v>0.99940828402366866</v>
          </cell>
          <cell r="S58">
            <v>0</v>
          </cell>
          <cell r="T58">
            <v>1</v>
          </cell>
          <cell r="U58">
            <v>1</v>
          </cell>
          <cell r="V58">
            <v>0</v>
          </cell>
        </row>
        <row r="59">
          <cell r="Q59">
            <v>0.47428571428571431</v>
          </cell>
          <cell r="R59">
            <v>0.99940828402366866</v>
          </cell>
          <cell r="S59">
            <v>1</v>
          </cell>
          <cell r="T59">
            <v>1</v>
          </cell>
          <cell r="U59">
            <v>0.5</v>
          </cell>
          <cell r="V59">
            <v>0</v>
          </cell>
        </row>
        <row r="60">
          <cell r="Q60">
            <v>0.26571428571428574</v>
          </cell>
          <cell r="R60">
            <v>0.99940828402366866</v>
          </cell>
          <cell r="S60">
            <v>0</v>
          </cell>
          <cell r="T60">
            <v>1</v>
          </cell>
          <cell r="U60">
            <v>0.5</v>
          </cell>
          <cell r="V60">
            <v>0.75</v>
          </cell>
        </row>
        <row r="61">
          <cell r="Q61">
            <v>0.18857142857142858</v>
          </cell>
          <cell r="R61">
            <v>0.99940828402366866</v>
          </cell>
          <cell r="S61">
            <v>0</v>
          </cell>
          <cell r="T61">
            <v>0</v>
          </cell>
          <cell r="U61">
            <v>0.75</v>
          </cell>
          <cell r="V61">
            <v>0.98350751143043758</v>
          </cell>
        </row>
        <row r="62">
          <cell r="Q62">
            <v>0.1</v>
          </cell>
          <cell r="R62">
            <v>0.99940828402366866</v>
          </cell>
          <cell r="S62">
            <v>0</v>
          </cell>
          <cell r="T62">
            <v>0</v>
          </cell>
          <cell r="U62">
            <v>0.75</v>
          </cell>
          <cell r="V62">
            <v>1.1445770942938083</v>
          </cell>
        </row>
        <row r="63">
          <cell r="Q63">
            <v>0.3</v>
          </cell>
          <cell r="R63">
            <v>0.99940828402366866</v>
          </cell>
          <cell r="S63">
            <v>0</v>
          </cell>
          <cell r="T63">
            <v>0</v>
          </cell>
          <cell r="U63">
            <v>0.75</v>
          </cell>
          <cell r="V63">
            <v>0.74305716269382083</v>
          </cell>
        </row>
        <row r="64">
          <cell r="Q64">
            <v>0.13428571428571429</v>
          </cell>
          <cell r="R64">
            <v>0.99940828402366866</v>
          </cell>
          <cell r="S64">
            <v>0</v>
          </cell>
          <cell r="T64">
            <v>1</v>
          </cell>
          <cell r="U64">
            <v>0.75</v>
          </cell>
          <cell r="V64">
            <v>0.72623966942148765</v>
          </cell>
        </row>
        <row r="65">
          <cell r="Q65">
            <v>0.12285714285714286</v>
          </cell>
          <cell r="R65">
            <v>0.99940828402366866</v>
          </cell>
          <cell r="S65">
            <v>0</v>
          </cell>
          <cell r="T65">
            <v>1</v>
          </cell>
          <cell r="U65">
            <v>0.75</v>
          </cell>
          <cell r="V65">
            <v>0.74551234106207931</v>
          </cell>
        </row>
        <row r="66">
          <cell r="Q66">
            <v>0.3</v>
          </cell>
          <cell r="R66">
            <v>0.99940828402366866</v>
          </cell>
          <cell r="S66">
            <v>0</v>
          </cell>
          <cell r="T66">
            <v>0.66689726738152888</v>
          </cell>
          <cell r="U66">
            <v>0.5</v>
          </cell>
          <cell r="V66">
            <v>0.75</v>
          </cell>
        </row>
        <row r="67">
          <cell r="Q67">
            <v>0.29714285714285715</v>
          </cell>
          <cell r="R67">
            <v>0.99940828402366866</v>
          </cell>
          <cell r="S67">
            <v>0</v>
          </cell>
          <cell r="T67">
            <v>0.99963523618457051</v>
          </cell>
          <cell r="U67">
            <v>1</v>
          </cell>
          <cell r="V67">
            <v>0.14362575232536931</v>
          </cell>
        </row>
        <row r="68">
          <cell r="Q68">
            <v>0.73142857142857143</v>
          </cell>
          <cell r="R68">
            <v>0.99940828402366866</v>
          </cell>
          <cell r="S68">
            <v>0</v>
          </cell>
          <cell r="T68">
            <v>1</v>
          </cell>
          <cell r="U68">
            <v>0.25</v>
          </cell>
          <cell r="V68">
            <v>0</v>
          </cell>
        </row>
        <row r="69">
          <cell r="Q69">
            <v>0.23142857142857143</v>
          </cell>
          <cell r="R69">
            <v>0.99940828402366866</v>
          </cell>
          <cell r="S69">
            <v>1</v>
          </cell>
          <cell r="T69">
            <v>0</v>
          </cell>
          <cell r="U69">
            <v>0.5</v>
          </cell>
          <cell r="V69">
            <v>0.75</v>
          </cell>
        </row>
        <row r="70">
          <cell r="Q70">
            <v>0.10571428571428572</v>
          </cell>
          <cell r="R70">
            <v>0.99940828402366866</v>
          </cell>
          <cell r="S70">
            <v>1</v>
          </cell>
          <cell r="T70">
            <v>0</v>
          </cell>
          <cell r="U70">
            <v>0.75</v>
          </cell>
          <cell r="V70">
            <v>0.75</v>
          </cell>
        </row>
        <row r="71">
          <cell r="Q71">
            <v>4.5714285714285714E-2</v>
          </cell>
          <cell r="R71">
            <v>0.99940828402366866</v>
          </cell>
          <cell r="S71">
            <v>0</v>
          </cell>
          <cell r="T71">
            <v>7.8859569305429183E-3</v>
          </cell>
          <cell r="U71">
            <v>0.5</v>
          </cell>
          <cell r="V71">
            <v>1.4476038823172581</v>
          </cell>
        </row>
        <row r="72">
          <cell r="Q72">
            <v>0.10571428571428572</v>
          </cell>
          <cell r="R72">
            <v>0.99940828402366866</v>
          </cell>
          <cell r="S72">
            <v>0</v>
          </cell>
          <cell r="T72">
            <v>0.98466364586964095</v>
          </cell>
          <cell r="U72">
            <v>0.75</v>
          </cell>
          <cell r="V72">
            <v>0.75</v>
          </cell>
        </row>
        <row r="73">
          <cell r="Q73">
            <v>0.2257142857142857</v>
          </cell>
          <cell r="R73">
            <v>0.99940828402366866</v>
          </cell>
          <cell r="S73">
            <v>0</v>
          </cell>
          <cell r="T73">
            <v>1</v>
          </cell>
          <cell r="U73">
            <v>0.5</v>
          </cell>
          <cell r="V73">
            <v>0.75</v>
          </cell>
        </row>
        <row r="74">
          <cell r="Q74">
            <v>0.2257142857142857</v>
          </cell>
          <cell r="R74">
            <v>0.99940828402366866</v>
          </cell>
          <cell r="S74">
            <v>0</v>
          </cell>
          <cell r="T74">
            <v>0.99887514060742411</v>
          </cell>
          <cell r="U74">
            <v>0.5</v>
          </cell>
          <cell r="V74">
            <v>0.75</v>
          </cell>
        </row>
        <row r="75">
          <cell r="Q75">
            <v>0.26</v>
          </cell>
          <cell r="R75">
            <v>0.99940828402366866</v>
          </cell>
          <cell r="S75">
            <v>0</v>
          </cell>
          <cell r="T75">
            <v>2.1035598705501618E-2</v>
          </cell>
          <cell r="U75">
            <v>0.75</v>
          </cell>
          <cell r="V75">
            <v>0.75</v>
          </cell>
        </row>
        <row r="76">
          <cell r="Q76">
            <v>0.21714285714285714</v>
          </cell>
          <cell r="R76">
            <v>0.99940828402366866</v>
          </cell>
          <cell r="S76">
            <v>0</v>
          </cell>
          <cell r="T76">
            <v>1</v>
          </cell>
          <cell r="U76">
            <v>0.5</v>
          </cell>
          <cell r="V76">
            <v>0.75</v>
          </cell>
        </row>
        <row r="77">
          <cell r="Q77">
            <v>0.25714285714285712</v>
          </cell>
          <cell r="R77">
            <v>0.99940828402366866</v>
          </cell>
          <cell r="S77">
            <v>0</v>
          </cell>
          <cell r="T77">
            <v>0</v>
          </cell>
          <cell r="U77">
            <v>0.75</v>
          </cell>
          <cell r="V77">
            <v>0.74783381470784271</v>
          </cell>
        </row>
        <row r="78">
          <cell r="Q78">
            <v>0.75428571428571434</v>
          </cell>
          <cell r="R78">
            <v>0.99940828402366866</v>
          </cell>
          <cell r="S78">
            <v>0</v>
          </cell>
          <cell r="T78">
            <v>0</v>
          </cell>
          <cell r="U78">
            <v>0.5</v>
          </cell>
          <cell r="V78">
            <v>0</v>
          </cell>
        </row>
        <row r="79">
          <cell r="Q79">
            <v>9.4285714285714292E-2</v>
          </cell>
          <cell r="R79">
            <v>0.99940828402366866</v>
          </cell>
          <cell r="S79">
            <v>0</v>
          </cell>
          <cell r="T79">
            <v>0.94528301886792454</v>
          </cell>
          <cell r="U79">
            <v>0.75</v>
          </cell>
          <cell r="V79">
            <v>0.75</v>
          </cell>
        </row>
        <row r="80">
          <cell r="Q80">
            <v>1</v>
          </cell>
          <cell r="R80">
            <v>0.99940828402366866</v>
          </cell>
          <cell r="S80">
            <v>0</v>
          </cell>
          <cell r="T80">
            <v>0</v>
          </cell>
          <cell r="U80">
            <v>0</v>
          </cell>
          <cell r="V80">
            <v>0</v>
          </cell>
        </row>
        <row r="81">
          <cell r="Q81">
            <v>7.7142857142857138E-2</v>
          </cell>
          <cell r="R81">
            <v>0.99940828402366866</v>
          </cell>
          <cell r="S81">
            <v>0</v>
          </cell>
          <cell r="T81">
            <v>1</v>
          </cell>
          <cell r="U81">
            <v>0.75</v>
          </cell>
          <cell r="V81">
            <v>0.75</v>
          </cell>
        </row>
        <row r="82">
          <cell r="Q82">
            <v>0.12571428571428572</v>
          </cell>
          <cell r="R82">
            <v>0.99940828402366866</v>
          </cell>
          <cell r="S82">
            <v>0</v>
          </cell>
          <cell r="T82">
            <v>3.8355408388520973E-2</v>
          </cell>
          <cell r="U82">
            <v>0.75</v>
          </cell>
          <cell r="V82">
            <v>0.9691639072847682</v>
          </cell>
        </row>
        <row r="83">
          <cell r="Q83">
            <v>0.20285714285714285</v>
          </cell>
          <cell r="R83">
            <v>0.99940828402366866</v>
          </cell>
          <cell r="S83">
            <v>0</v>
          </cell>
          <cell r="T83">
            <v>0</v>
          </cell>
          <cell r="U83">
            <v>1</v>
          </cell>
          <cell r="V83">
            <v>0.57692307692307687</v>
          </cell>
        </row>
        <row r="84">
          <cell r="Q84">
            <v>0.19714285714285715</v>
          </cell>
          <cell r="R84">
            <v>0.99940828402366866</v>
          </cell>
          <cell r="S84">
            <v>0</v>
          </cell>
          <cell r="T84">
            <v>1</v>
          </cell>
          <cell r="U84">
            <v>0.5</v>
          </cell>
          <cell r="V84">
            <v>0.75</v>
          </cell>
        </row>
        <row r="85">
          <cell r="Q85">
            <v>0.14000000000000001</v>
          </cell>
          <cell r="R85">
            <v>0.99940828402366866</v>
          </cell>
          <cell r="S85">
            <v>0</v>
          </cell>
          <cell r="T85">
            <v>2.7439578411775394E-2</v>
          </cell>
          <cell r="U85">
            <v>0.75</v>
          </cell>
          <cell r="V85">
            <v>0.93171906232963841</v>
          </cell>
        </row>
        <row r="86">
          <cell r="Q86">
            <v>0.31428571428571428</v>
          </cell>
          <cell r="R86">
            <v>0.99940828402366866</v>
          </cell>
          <cell r="S86">
            <v>1</v>
          </cell>
          <cell r="T86">
            <v>0</v>
          </cell>
          <cell r="U86">
            <v>1</v>
          </cell>
          <cell r="V86">
            <v>0</v>
          </cell>
        </row>
        <row r="87">
          <cell r="Q87">
            <v>0.18857142857142858</v>
          </cell>
          <cell r="R87">
            <v>0.99940828402366866</v>
          </cell>
          <cell r="S87">
            <v>1</v>
          </cell>
          <cell r="T87">
            <v>0</v>
          </cell>
          <cell r="U87">
            <v>0.5</v>
          </cell>
          <cell r="V87">
            <v>0.75</v>
          </cell>
        </row>
        <row r="88">
          <cell r="Q88">
            <v>0.14571428571428571</v>
          </cell>
          <cell r="R88">
            <v>0.99940828402366866</v>
          </cell>
          <cell r="S88">
            <v>0</v>
          </cell>
          <cell r="T88">
            <v>0</v>
          </cell>
          <cell r="U88">
            <v>0.75</v>
          </cell>
          <cell r="V88">
            <v>0.91711229946524064</v>
          </cell>
        </row>
        <row r="89">
          <cell r="Q89">
            <v>0.06</v>
          </cell>
          <cell r="R89">
            <v>0.99940828402366866</v>
          </cell>
          <cell r="S89">
            <v>1</v>
          </cell>
          <cell r="T89">
            <v>0</v>
          </cell>
          <cell r="U89">
            <v>0.75</v>
          </cell>
          <cell r="V89">
            <v>0.75</v>
          </cell>
        </row>
        <row r="90">
          <cell r="Q90">
            <v>0.42857142857142855</v>
          </cell>
          <cell r="R90">
            <v>0.99940828402366866</v>
          </cell>
          <cell r="S90">
            <v>0</v>
          </cell>
          <cell r="T90">
            <v>1</v>
          </cell>
          <cell r="U90">
            <v>0.75</v>
          </cell>
          <cell r="V90">
            <v>0</v>
          </cell>
        </row>
        <row r="91">
          <cell r="Q91">
            <v>0.38571428571428573</v>
          </cell>
          <cell r="R91">
            <v>0.99940828402366866</v>
          </cell>
          <cell r="S91">
            <v>1</v>
          </cell>
          <cell r="T91">
            <v>1</v>
          </cell>
          <cell r="U91">
            <v>0.5</v>
          </cell>
          <cell r="V91">
            <v>0</v>
          </cell>
        </row>
        <row r="92">
          <cell r="Q92">
            <v>0.42285714285714288</v>
          </cell>
          <cell r="R92">
            <v>0.99940828402366866</v>
          </cell>
          <cell r="S92">
            <v>0</v>
          </cell>
          <cell r="T92">
            <v>1</v>
          </cell>
          <cell r="U92">
            <v>0</v>
          </cell>
          <cell r="V92">
            <v>0.75</v>
          </cell>
        </row>
        <row r="93">
          <cell r="Q93">
            <v>0.42285714285714288</v>
          </cell>
          <cell r="R93">
            <v>0.99940828402366866</v>
          </cell>
          <cell r="S93">
            <v>1</v>
          </cell>
          <cell r="T93">
            <v>0</v>
          </cell>
          <cell r="U93">
            <v>0.75</v>
          </cell>
          <cell r="V93">
            <v>0</v>
          </cell>
        </row>
        <row r="94">
          <cell r="Q94">
            <v>0.20857142857142857</v>
          </cell>
          <cell r="R94">
            <v>0.99940828402366866</v>
          </cell>
          <cell r="S94">
            <v>0</v>
          </cell>
          <cell r="T94">
            <v>1.3452317527970166E-2</v>
          </cell>
          <cell r="U94">
            <v>0.75</v>
          </cell>
          <cell r="V94">
            <v>0.75</v>
          </cell>
        </row>
        <row r="95">
          <cell r="Q95">
            <v>0.41714285714285715</v>
          </cell>
          <cell r="R95">
            <v>0.99940828402366866</v>
          </cell>
          <cell r="S95">
            <v>1</v>
          </cell>
          <cell r="T95">
            <v>0</v>
          </cell>
          <cell r="U95">
            <v>0.75</v>
          </cell>
          <cell r="V95">
            <v>0</v>
          </cell>
        </row>
        <row r="96">
          <cell r="Q96">
            <v>0.1657142857142857</v>
          </cell>
          <cell r="R96">
            <v>0.99940828402366866</v>
          </cell>
          <cell r="S96">
            <v>0</v>
          </cell>
          <cell r="T96">
            <v>1</v>
          </cell>
          <cell r="U96">
            <v>0.5</v>
          </cell>
          <cell r="V96">
            <v>0.75</v>
          </cell>
        </row>
        <row r="97">
          <cell r="Q97">
            <v>0.15142857142857144</v>
          </cell>
          <cell r="R97">
            <v>0.99940828402366866</v>
          </cell>
          <cell r="S97">
            <v>0</v>
          </cell>
          <cell r="T97">
            <v>0.33444444444444443</v>
          </cell>
          <cell r="U97">
            <v>0.75</v>
          </cell>
          <cell r="V97">
            <v>0.75</v>
          </cell>
        </row>
        <row r="98">
          <cell r="Q98">
            <v>0.10857142857142857</v>
          </cell>
          <cell r="R98">
            <v>0.99940828402366866</v>
          </cell>
          <cell r="S98">
            <v>0</v>
          </cell>
          <cell r="T98">
            <v>0.5295342673229837</v>
          </cell>
          <cell r="U98">
            <v>0.75</v>
          </cell>
          <cell r="V98">
            <v>0.75</v>
          </cell>
        </row>
        <row r="99">
          <cell r="Q99">
            <v>0.44571428571428573</v>
          </cell>
          <cell r="R99">
            <v>0.99940828402366866</v>
          </cell>
          <cell r="S99">
            <v>0</v>
          </cell>
          <cell r="T99">
            <v>0</v>
          </cell>
          <cell r="U99">
            <v>1</v>
          </cell>
          <cell r="V99">
            <v>0</v>
          </cell>
        </row>
        <row r="100">
          <cell r="Q100">
            <v>0.27714285714285714</v>
          </cell>
          <cell r="R100">
            <v>0.99940828402366866</v>
          </cell>
          <cell r="S100">
            <v>0</v>
          </cell>
          <cell r="T100">
            <v>1</v>
          </cell>
          <cell r="U100">
            <v>0.25</v>
          </cell>
          <cell r="V100">
            <v>0.75</v>
          </cell>
        </row>
        <row r="101">
          <cell r="Q101">
            <v>0.15142857142857144</v>
          </cell>
          <cell r="R101">
            <v>0.99940828402366866</v>
          </cell>
          <cell r="S101">
            <v>0</v>
          </cell>
          <cell r="T101">
            <v>1</v>
          </cell>
          <cell r="U101">
            <v>0.5</v>
          </cell>
          <cell r="V101">
            <v>0.75</v>
          </cell>
        </row>
        <row r="102">
          <cell r="Q102">
            <v>0.35142857142857142</v>
          </cell>
          <cell r="R102">
            <v>0.99940828402366866</v>
          </cell>
          <cell r="S102">
            <v>0</v>
          </cell>
          <cell r="T102">
            <v>0</v>
          </cell>
          <cell r="U102">
            <v>0.75</v>
          </cell>
          <cell r="V102">
            <v>0.43224813022437308</v>
          </cell>
        </row>
        <row r="103">
          <cell r="Q103">
            <v>0.19142857142857142</v>
          </cell>
          <cell r="R103">
            <v>0.99940828402366866</v>
          </cell>
          <cell r="S103">
            <v>0</v>
          </cell>
          <cell r="T103">
            <v>0</v>
          </cell>
          <cell r="U103">
            <v>0.75</v>
          </cell>
          <cell r="V103">
            <v>0.75</v>
          </cell>
        </row>
        <row r="104">
          <cell r="Q104">
            <v>0.64857142857142858</v>
          </cell>
          <cell r="R104">
            <v>0.99940828402366866</v>
          </cell>
          <cell r="S104">
            <v>0</v>
          </cell>
          <cell r="T104">
            <v>1</v>
          </cell>
          <cell r="U104">
            <v>0.25</v>
          </cell>
          <cell r="V104">
            <v>0</v>
          </cell>
        </row>
        <row r="105">
          <cell r="Q105">
            <v>0.29714285714285715</v>
          </cell>
          <cell r="R105">
            <v>0.99940828402366866</v>
          </cell>
          <cell r="S105">
            <v>0</v>
          </cell>
          <cell r="T105">
            <v>2.9215358931552588E-3</v>
          </cell>
          <cell r="U105">
            <v>0.75</v>
          </cell>
          <cell r="V105">
            <v>0.53213689482470783</v>
          </cell>
        </row>
        <row r="106">
          <cell r="Q106">
            <v>5.4285714285714284E-2</v>
          </cell>
          <cell r="R106">
            <v>0.99940828402366866</v>
          </cell>
          <cell r="S106">
            <v>0</v>
          </cell>
          <cell r="T106">
            <v>0</v>
          </cell>
          <cell r="U106">
            <v>1</v>
          </cell>
          <cell r="V106">
            <v>0.75</v>
          </cell>
        </row>
        <row r="107">
          <cell r="Q107">
            <v>0.67714285714285716</v>
          </cell>
          <cell r="R107">
            <v>0.99940828402366866</v>
          </cell>
          <cell r="S107">
            <v>0</v>
          </cell>
          <cell r="T107">
            <v>0</v>
          </cell>
          <cell r="U107">
            <v>0.5</v>
          </cell>
          <cell r="V107">
            <v>0</v>
          </cell>
        </row>
        <row r="108">
          <cell r="Q108">
            <v>0.18571428571428572</v>
          </cell>
          <cell r="R108">
            <v>0.99940828402366866</v>
          </cell>
          <cell r="S108">
            <v>0</v>
          </cell>
          <cell r="T108">
            <v>0</v>
          </cell>
          <cell r="U108">
            <v>0.75</v>
          </cell>
          <cell r="V108">
            <v>0.73243134087237483</v>
          </cell>
        </row>
        <row r="109">
          <cell r="Q109">
            <v>0.55142857142857138</v>
          </cell>
          <cell r="R109">
            <v>0.99940828402366866</v>
          </cell>
          <cell r="S109">
            <v>0</v>
          </cell>
          <cell r="T109">
            <v>0</v>
          </cell>
          <cell r="U109">
            <v>0.75</v>
          </cell>
          <cell r="V109">
            <v>0</v>
          </cell>
        </row>
        <row r="110">
          <cell r="Q110">
            <v>0.20285714285714285</v>
          </cell>
          <cell r="R110">
            <v>0.99940828402366866</v>
          </cell>
          <cell r="S110">
            <v>0</v>
          </cell>
          <cell r="T110">
            <v>1</v>
          </cell>
          <cell r="U110">
            <v>0.75</v>
          </cell>
          <cell r="V110">
            <v>0.36070698569195625</v>
          </cell>
        </row>
        <row r="111">
          <cell r="Q111">
            <v>0.13142857142857142</v>
          </cell>
          <cell r="R111">
            <v>0.99940828402366866</v>
          </cell>
          <cell r="S111">
            <v>1</v>
          </cell>
          <cell r="T111">
            <v>0</v>
          </cell>
          <cell r="U111">
            <v>0.75</v>
          </cell>
          <cell r="V111">
            <v>0.5</v>
          </cell>
        </row>
        <row r="112">
          <cell r="Q112">
            <v>0.25428571428571428</v>
          </cell>
          <cell r="R112">
            <v>0.99940828402366866</v>
          </cell>
          <cell r="S112">
            <v>0</v>
          </cell>
          <cell r="T112">
            <v>1</v>
          </cell>
          <cell r="U112">
            <v>1</v>
          </cell>
          <cell r="V112">
            <v>0</v>
          </cell>
        </row>
        <row r="113">
          <cell r="Q113">
            <v>0.12857142857142856</v>
          </cell>
          <cell r="R113">
            <v>0.99940828402366866</v>
          </cell>
          <cell r="S113">
            <v>0</v>
          </cell>
          <cell r="T113">
            <v>1</v>
          </cell>
          <cell r="U113">
            <v>0.5</v>
          </cell>
          <cell r="V113">
            <v>0.75</v>
          </cell>
        </row>
        <row r="114">
          <cell r="Q114">
            <v>0.12571428571428572</v>
          </cell>
          <cell r="R114">
            <v>0.99940828402366866</v>
          </cell>
          <cell r="S114">
            <v>1</v>
          </cell>
          <cell r="T114">
            <v>0</v>
          </cell>
          <cell r="U114">
            <v>0.5</v>
          </cell>
          <cell r="V114">
            <v>0.75</v>
          </cell>
        </row>
        <row r="115">
          <cell r="Q115">
            <v>0.16285714285714287</v>
          </cell>
          <cell r="R115">
            <v>0.99940828402366866</v>
          </cell>
          <cell r="S115">
            <v>0</v>
          </cell>
          <cell r="T115">
            <v>0.74055158324821246</v>
          </cell>
          <cell r="U115">
            <v>0.5</v>
          </cell>
          <cell r="V115">
            <v>0.75</v>
          </cell>
        </row>
        <row r="116">
          <cell r="Q116">
            <v>7.1428571428571425E-2</v>
          </cell>
          <cell r="R116">
            <v>0.99940828402366866</v>
          </cell>
          <cell r="S116">
            <v>0</v>
          </cell>
          <cell r="T116">
            <v>0.53344155844155849</v>
          </cell>
          <cell r="U116">
            <v>0.75</v>
          </cell>
          <cell r="V116">
            <v>0.75</v>
          </cell>
        </row>
        <row r="117">
          <cell r="Q117">
            <v>0.24285714285714285</v>
          </cell>
          <cell r="R117">
            <v>0.99940828402366866</v>
          </cell>
          <cell r="S117">
            <v>0</v>
          </cell>
          <cell r="T117">
            <v>1</v>
          </cell>
          <cell r="U117">
            <v>0.5</v>
          </cell>
          <cell r="V117">
            <v>0.5</v>
          </cell>
        </row>
        <row r="118">
          <cell r="Q118">
            <v>0.11714285714285715</v>
          </cell>
          <cell r="R118">
            <v>0.99940828402366866</v>
          </cell>
          <cell r="S118">
            <v>0</v>
          </cell>
          <cell r="T118">
            <v>1</v>
          </cell>
          <cell r="U118">
            <v>0.5</v>
          </cell>
          <cell r="V118">
            <v>0.75</v>
          </cell>
        </row>
        <row r="119">
          <cell r="Q119">
            <v>0.11714285714285715</v>
          </cell>
          <cell r="R119">
            <v>0.99940828402366866</v>
          </cell>
          <cell r="S119">
            <v>0</v>
          </cell>
          <cell r="T119">
            <v>1</v>
          </cell>
          <cell r="U119">
            <v>0.5</v>
          </cell>
          <cell r="V119">
            <v>0.75</v>
          </cell>
        </row>
        <row r="120">
          <cell r="Q120">
            <v>0.15714285714285714</v>
          </cell>
          <cell r="R120">
            <v>0.99940828402366866</v>
          </cell>
          <cell r="S120">
            <v>0</v>
          </cell>
          <cell r="T120">
            <v>0</v>
          </cell>
          <cell r="U120">
            <v>0.75</v>
          </cell>
          <cell r="V120">
            <v>0.75</v>
          </cell>
        </row>
        <row r="121">
          <cell r="Q121">
            <v>0.36285714285714288</v>
          </cell>
          <cell r="R121">
            <v>0.99940828402366866</v>
          </cell>
          <cell r="S121">
            <v>0</v>
          </cell>
          <cell r="T121">
            <v>1</v>
          </cell>
          <cell r="U121">
            <v>0.75</v>
          </cell>
          <cell r="V121">
            <v>0</v>
          </cell>
        </row>
        <row r="122">
          <cell r="Q122">
            <v>2.8571428571428571E-2</v>
          </cell>
          <cell r="R122">
            <v>0.99940828402366866</v>
          </cell>
          <cell r="S122">
            <v>0</v>
          </cell>
          <cell r="T122">
            <v>0</v>
          </cell>
          <cell r="U122">
            <v>1</v>
          </cell>
          <cell r="V122">
            <v>0.75</v>
          </cell>
        </row>
        <row r="123">
          <cell r="Q123">
            <v>6.5714285714285711E-2</v>
          </cell>
          <cell r="R123">
            <v>0.99940828402366866</v>
          </cell>
          <cell r="S123">
            <v>0</v>
          </cell>
          <cell r="T123">
            <v>0.9973392461197339</v>
          </cell>
          <cell r="U123">
            <v>0.5</v>
          </cell>
          <cell r="V123">
            <v>0.84312638580931265</v>
          </cell>
        </row>
        <row r="124">
          <cell r="Q124">
            <v>0.15428571428571428</v>
          </cell>
          <cell r="R124">
            <v>0.99940828402366866</v>
          </cell>
          <cell r="S124">
            <v>0</v>
          </cell>
          <cell r="T124">
            <v>0</v>
          </cell>
          <cell r="U124">
            <v>0.75</v>
          </cell>
          <cell r="V124">
            <v>0.74750830564784054</v>
          </cell>
        </row>
        <row r="125">
          <cell r="Q125">
            <v>0.15142857142857144</v>
          </cell>
          <cell r="R125">
            <v>0.99940828402366866</v>
          </cell>
          <cell r="S125">
            <v>0</v>
          </cell>
          <cell r="T125">
            <v>0</v>
          </cell>
          <cell r="U125">
            <v>0.75</v>
          </cell>
          <cell r="V125">
            <v>0.75</v>
          </cell>
        </row>
        <row r="126">
          <cell r="Q126">
            <v>0.19142857142857142</v>
          </cell>
          <cell r="R126">
            <v>0.99940828402366866</v>
          </cell>
          <cell r="S126">
            <v>1</v>
          </cell>
          <cell r="T126">
            <v>1</v>
          </cell>
          <cell r="U126">
            <v>0.75</v>
          </cell>
          <cell r="V126">
            <v>0</v>
          </cell>
        </row>
        <row r="127">
          <cell r="Q127">
            <v>5.4285714285714284E-2</v>
          </cell>
          <cell r="R127">
            <v>0.99940828402366866</v>
          </cell>
          <cell r="S127">
            <v>0</v>
          </cell>
          <cell r="T127">
            <v>0</v>
          </cell>
          <cell r="U127">
            <v>0.75</v>
          </cell>
          <cell r="V127">
            <v>0.936706497386109</v>
          </cell>
        </row>
        <row r="128">
          <cell r="Q128">
            <v>0.27142857142857141</v>
          </cell>
          <cell r="R128">
            <v>0.99940828402366866</v>
          </cell>
          <cell r="S128">
            <v>0</v>
          </cell>
          <cell r="T128">
            <v>0</v>
          </cell>
          <cell r="U128">
            <v>0.5</v>
          </cell>
          <cell r="V128">
            <v>0.75</v>
          </cell>
        </row>
        <row r="129">
          <cell r="Q129">
            <v>0.27142857142857141</v>
          </cell>
          <cell r="R129">
            <v>0.99940828402366866</v>
          </cell>
          <cell r="S129">
            <v>0</v>
          </cell>
          <cell r="T129">
            <v>0</v>
          </cell>
          <cell r="U129">
            <v>0.5</v>
          </cell>
          <cell r="V129">
            <v>0.75</v>
          </cell>
        </row>
        <row r="130">
          <cell r="Q130">
            <v>0.27142857142857141</v>
          </cell>
          <cell r="R130">
            <v>0.99940828402366866</v>
          </cell>
          <cell r="S130">
            <v>0</v>
          </cell>
          <cell r="T130">
            <v>0</v>
          </cell>
          <cell r="U130">
            <v>0.5</v>
          </cell>
          <cell r="V130">
            <v>0.75</v>
          </cell>
        </row>
        <row r="131">
          <cell r="Q131">
            <v>0.10285714285714286</v>
          </cell>
          <cell r="R131">
            <v>0.99940828402366866</v>
          </cell>
          <cell r="S131">
            <v>0</v>
          </cell>
          <cell r="T131">
            <v>1</v>
          </cell>
          <cell r="U131">
            <v>0.5</v>
          </cell>
          <cell r="V131">
            <v>0.75</v>
          </cell>
        </row>
        <row r="132">
          <cell r="Q132">
            <v>0.2</v>
          </cell>
          <cell r="R132">
            <v>0.99940828402366866</v>
          </cell>
          <cell r="S132">
            <v>0</v>
          </cell>
          <cell r="T132">
            <v>0</v>
          </cell>
          <cell r="U132">
            <v>0.75</v>
          </cell>
          <cell r="V132">
            <v>0.63722067039106145</v>
          </cell>
        </row>
        <row r="133">
          <cell r="Q133">
            <v>0.41428571428571431</v>
          </cell>
          <cell r="R133">
            <v>0.99940828402366866</v>
          </cell>
          <cell r="S133">
            <v>0</v>
          </cell>
          <cell r="T133">
            <v>1</v>
          </cell>
          <cell r="U133">
            <v>0.5</v>
          </cell>
          <cell r="V133">
            <v>0.12028869286287089</v>
          </cell>
        </row>
        <row r="134">
          <cell r="Q134">
            <v>0.6</v>
          </cell>
          <cell r="R134">
            <v>0.99940828402366866</v>
          </cell>
          <cell r="S134">
            <v>0</v>
          </cell>
          <cell r="T134">
            <v>0.99572483482316365</v>
          </cell>
          <cell r="U134">
            <v>0.25</v>
          </cell>
          <cell r="V134">
            <v>0</v>
          </cell>
        </row>
        <row r="135">
          <cell r="Q135">
            <v>0.64</v>
          </cell>
          <cell r="R135">
            <v>0.99940828402366866</v>
          </cell>
          <cell r="S135">
            <v>0</v>
          </cell>
          <cell r="T135">
            <v>0</v>
          </cell>
          <cell r="U135">
            <v>0.5</v>
          </cell>
          <cell r="V135">
            <v>0</v>
          </cell>
        </row>
        <row r="136">
          <cell r="Q136">
            <v>0.14000000000000001</v>
          </cell>
          <cell r="R136">
            <v>0.99940828402366866</v>
          </cell>
          <cell r="S136">
            <v>0</v>
          </cell>
          <cell r="T136">
            <v>0</v>
          </cell>
          <cell r="U136">
            <v>0.75</v>
          </cell>
          <cell r="V136">
            <v>0.75</v>
          </cell>
        </row>
        <row r="137">
          <cell r="Q137">
            <v>0.14000000000000001</v>
          </cell>
          <cell r="R137">
            <v>0.99940828402366866</v>
          </cell>
          <cell r="S137">
            <v>0</v>
          </cell>
          <cell r="T137">
            <v>0</v>
          </cell>
          <cell r="U137">
            <v>0.75</v>
          </cell>
          <cell r="V137">
            <v>0.75</v>
          </cell>
        </row>
        <row r="138">
          <cell r="Q138">
            <v>0.14000000000000001</v>
          </cell>
          <cell r="R138">
            <v>0.99940828402366866</v>
          </cell>
          <cell r="S138">
            <v>0</v>
          </cell>
          <cell r="T138">
            <v>0</v>
          </cell>
          <cell r="U138">
            <v>0.75</v>
          </cell>
          <cell r="V138">
            <v>0.75</v>
          </cell>
        </row>
        <row r="139">
          <cell r="Q139">
            <v>0.15428571428571428</v>
          </cell>
          <cell r="R139">
            <v>0.99940828402366866</v>
          </cell>
          <cell r="S139">
            <v>0</v>
          </cell>
          <cell r="T139">
            <v>0</v>
          </cell>
          <cell r="U139">
            <v>0.75</v>
          </cell>
          <cell r="V139">
            <v>0.72023047375160054</v>
          </cell>
        </row>
        <row r="140">
          <cell r="Q140">
            <v>2.2857142857142857E-2</v>
          </cell>
          <cell r="R140">
            <v>0.99940828402366866</v>
          </cell>
          <cell r="S140">
            <v>0</v>
          </cell>
          <cell r="T140">
            <v>0</v>
          </cell>
          <cell r="U140">
            <v>1</v>
          </cell>
          <cell r="V140">
            <v>0.73034591194968557</v>
          </cell>
        </row>
        <row r="141">
          <cell r="Q141">
            <v>0.38857142857142857</v>
          </cell>
          <cell r="R141">
            <v>0.99940828402366866</v>
          </cell>
          <cell r="S141">
            <v>0</v>
          </cell>
          <cell r="T141">
            <v>0</v>
          </cell>
          <cell r="U141">
            <v>0.75</v>
          </cell>
          <cell r="V141">
            <v>0.24720149253731344</v>
          </cell>
        </row>
        <row r="142">
          <cell r="Q142">
            <v>0.13714285714285715</v>
          </cell>
          <cell r="R142">
            <v>0.99940828402366866</v>
          </cell>
          <cell r="S142">
            <v>0</v>
          </cell>
          <cell r="T142">
            <v>0</v>
          </cell>
          <cell r="U142">
            <v>0.75</v>
          </cell>
          <cell r="V142">
            <v>0.74914456800684348</v>
          </cell>
        </row>
        <row r="143">
          <cell r="Q143">
            <v>0.71714285714285719</v>
          </cell>
          <cell r="R143">
            <v>0.99940828402366866</v>
          </cell>
          <cell r="S143">
            <v>0</v>
          </cell>
          <cell r="T143">
            <v>1</v>
          </cell>
          <cell r="U143">
            <v>0</v>
          </cell>
          <cell r="V143">
            <v>0</v>
          </cell>
        </row>
        <row r="144">
          <cell r="Q144">
            <v>0.71714285714285719</v>
          </cell>
          <cell r="R144">
            <v>0.99940828402366866</v>
          </cell>
          <cell r="S144">
            <v>0</v>
          </cell>
          <cell r="T144">
            <v>1</v>
          </cell>
          <cell r="U144">
            <v>0</v>
          </cell>
          <cell r="V144">
            <v>0</v>
          </cell>
        </row>
        <row r="145">
          <cell r="Q145">
            <v>0.51142857142857145</v>
          </cell>
          <cell r="R145">
            <v>0.99940828402366866</v>
          </cell>
          <cell r="S145">
            <v>0</v>
          </cell>
          <cell r="T145">
            <v>0.73372093023255813</v>
          </cell>
          <cell r="U145">
            <v>0.5</v>
          </cell>
          <cell r="V145">
            <v>0</v>
          </cell>
        </row>
        <row r="146">
          <cell r="Q146">
            <v>0.13714285714285715</v>
          </cell>
          <cell r="R146">
            <v>0.99940828402366866</v>
          </cell>
          <cell r="S146">
            <v>0</v>
          </cell>
          <cell r="T146">
            <v>0.72471264367816091</v>
          </cell>
          <cell r="U146">
            <v>0.5</v>
          </cell>
          <cell r="V146">
            <v>0.75</v>
          </cell>
        </row>
        <row r="147">
          <cell r="Q147">
            <v>0.29142857142857143</v>
          </cell>
          <cell r="R147">
            <v>0.99940828402366866</v>
          </cell>
          <cell r="S147">
            <v>0</v>
          </cell>
          <cell r="T147">
            <v>0.20500223313979454</v>
          </cell>
          <cell r="U147">
            <v>1</v>
          </cell>
          <cell r="V147">
            <v>0.11389012952210809</v>
          </cell>
        </row>
        <row r="148">
          <cell r="Q148">
            <v>0.13142857142857142</v>
          </cell>
          <cell r="R148">
            <v>0.99940828402366866</v>
          </cell>
          <cell r="S148">
            <v>0</v>
          </cell>
          <cell r="T148">
            <v>1.9670518809933612E-3</v>
          </cell>
          <cell r="U148">
            <v>0.75</v>
          </cell>
          <cell r="V148">
            <v>0.75</v>
          </cell>
        </row>
        <row r="149">
          <cell r="Q149">
            <v>0.13142857142857142</v>
          </cell>
          <cell r="R149">
            <v>0.99940828402366866</v>
          </cell>
          <cell r="S149">
            <v>0</v>
          </cell>
          <cell r="T149">
            <v>0</v>
          </cell>
          <cell r="U149">
            <v>0.75</v>
          </cell>
          <cell r="V149">
            <v>0.75</v>
          </cell>
        </row>
        <row r="150">
          <cell r="Q150">
            <v>0.13142857142857142</v>
          </cell>
          <cell r="R150">
            <v>0.99940828402366866</v>
          </cell>
          <cell r="S150">
            <v>0</v>
          </cell>
          <cell r="T150">
            <v>0</v>
          </cell>
          <cell r="U150">
            <v>0.75</v>
          </cell>
          <cell r="V150">
            <v>0.75</v>
          </cell>
        </row>
        <row r="151">
          <cell r="Q151">
            <v>0.13142857142857142</v>
          </cell>
          <cell r="R151">
            <v>0.99940828402366866</v>
          </cell>
          <cell r="S151">
            <v>0</v>
          </cell>
          <cell r="T151">
            <v>0</v>
          </cell>
          <cell r="U151">
            <v>0.75</v>
          </cell>
          <cell r="V151">
            <v>0.75</v>
          </cell>
        </row>
        <row r="152">
          <cell r="Q152">
            <v>0.13142857142857142</v>
          </cell>
          <cell r="R152">
            <v>0.99940828402366866</v>
          </cell>
          <cell r="S152">
            <v>0</v>
          </cell>
          <cell r="T152">
            <v>0</v>
          </cell>
          <cell r="U152">
            <v>0.75</v>
          </cell>
          <cell r="V152">
            <v>0.75</v>
          </cell>
        </row>
        <row r="153">
          <cell r="Q153">
            <v>8.8571428571428565E-2</v>
          </cell>
          <cell r="R153">
            <v>0.99940828402366866</v>
          </cell>
          <cell r="S153">
            <v>1</v>
          </cell>
          <cell r="T153">
            <v>0</v>
          </cell>
          <cell r="U153">
            <v>0.75</v>
          </cell>
          <cell r="V153">
            <v>0.5</v>
          </cell>
        </row>
        <row r="154">
          <cell r="Q154">
            <v>8.8571428571428565E-2</v>
          </cell>
          <cell r="R154">
            <v>0.99940828402366866</v>
          </cell>
          <cell r="S154">
            <v>1</v>
          </cell>
          <cell r="T154">
            <v>0</v>
          </cell>
          <cell r="U154">
            <v>0.75</v>
          </cell>
          <cell r="V154">
            <v>0.5</v>
          </cell>
        </row>
        <row r="155">
          <cell r="Q155">
            <v>8.8571428571428565E-2</v>
          </cell>
          <cell r="R155">
            <v>0.99940828402366866</v>
          </cell>
          <cell r="S155">
            <v>1</v>
          </cell>
          <cell r="T155">
            <v>0</v>
          </cell>
          <cell r="U155">
            <v>0.75</v>
          </cell>
          <cell r="V155">
            <v>0.5</v>
          </cell>
        </row>
        <row r="156">
          <cell r="Q156">
            <v>0.18571428571428572</v>
          </cell>
          <cell r="R156">
            <v>0.99940828402366866</v>
          </cell>
          <cell r="S156">
            <v>0</v>
          </cell>
          <cell r="T156">
            <v>0.41003645721638432</v>
          </cell>
          <cell r="U156">
            <v>0.5</v>
          </cell>
          <cell r="V156">
            <v>0.75</v>
          </cell>
        </row>
        <row r="157">
          <cell r="Q157">
            <v>0.12857142857142856</v>
          </cell>
          <cell r="R157">
            <v>0.99940828402366866</v>
          </cell>
          <cell r="S157">
            <v>0</v>
          </cell>
          <cell r="T157">
            <v>0</v>
          </cell>
          <cell r="U157">
            <v>0.75</v>
          </cell>
          <cell r="V157">
            <v>0.75</v>
          </cell>
        </row>
        <row r="158">
          <cell r="Q158">
            <v>0.21142857142857144</v>
          </cell>
          <cell r="R158">
            <v>0.99940828402366866</v>
          </cell>
          <cell r="S158">
            <v>1</v>
          </cell>
          <cell r="T158">
            <v>0</v>
          </cell>
          <cell r="U158">
            <v>0.5</v>
          </cell>
          <cell r="V158">
            <v>0.5</v>
          </cell>
        </row>
        <row r="159">
          <cell r="Q159">
            <v>0.50285714285714289</v>
          </cell>
          <cell r="R159">
            <v>0.99940828402366866</v>
          </cell>
          <cell r="S159">
            <v>0</v>
          </cell>
          <cell r="T159">
            <v>0</v>
          </cell>
          <cell r="U159">
            <v>0.75</v>
          </cell>
          <cell r="V159">
            <v>0</v>
          </cell>
        </row>
        <row r="160">
          <cell r="Q160">
            <v>0.44857142857142857</v>
          </cell>
          <cell r="R160">
            <v>0.99940828402366866</v>
          </cell>
          <cell r="S160">
            <v>0</v>
          </cell>
          <cell r="T160">
            <v>1</v>
          </cell>
          <cell r="U160">
            <v>0</v>
          </cell>
          <cell r="V160">
            <v>0.51894563426688634</v>
          </cell>
        </row>
        <row r="161">
          <cell r="Q161">
            <v>0.12285714285714286</v>
          </cell>
          <cell r="R161">
            <v>0.99940828402366866</v>
          </cell>
          <cell r="S161">
            <v>0</v>
          </cell>
          <cell r="T161">
            <v>0</v>
          </cell>
          <cell r="U161">
            <v>0.75</v>
          </cell>
          <cell r="V161">
            <v>0.75</v>
          </cell>
        </row>
        <row r="162">
          <cell r="Q162">
            <v>0.12285714285714286</v>
          </cell>
          <cell r="R162">
            <v>0.99940828402366866</v>
          </cell>
          <cell r="S162">
            <v>0</v>
          </cell>
          <cell r="T162">
            <v>0</v>
          </cell>
          <cell r="U162">
            <v>0.75</v>
          </cell>
          <cell r="V162">
            <v>0.75</v>
          </cell>
        </row>
        <row r="163">
          <cell r="Q163">
            <v>0.20571428571428571</v>
          </cell>
          <cell r="R163">
            <v>0.99940828402366866</v>
          </cell>
          <cell r="S163">
            <v>1</v>
          </cell>
          <cell r="T163">
            <v>0</v>
          </cell>
          <cell r="U163">
            <v>1</v>
          </cell>
          <cell r="V163">
            <v>0</v>
          </cell>
        </row>
        <row r="164">
          <cell r="Q164">
            <v>0.20571428571428571</v>
          </cell>
          <cell r="R164">
            <v>0.99940828402366866</v>
          </cell>
          <cell r="S164">
            <v>1</v>
          </cell>
          <cell r="T164">
            <v>0</v>
          </cell>
          <cell r="U164">
            <v>0.25</v>
          </cell>
          <cell r="V164">
            <v>0.75</v>
          </cell>
        </row>
        <row r="165">
          <cell r="Q165">
            <v>0.20285714285714285</v>
          </cell>
          <cell r="R165">
            <v>0.99940828402366866</v>
          </cell>
          <cell r="S165">
            <v>0</v>
          </cell>
          <cell r="T165">
            <v>0</v>
          </cell>
          <cell r="U165">
            <v>1</v>
          </cell>
          <cell r="V165">
            <v>0.33656761673741664</v>
          </cell>
        </row>
        <row r="166">
          <cell r="Q166">
            <v>0.11428571428571428</v>
          </cell>
          <cell r="R166">
            <v>0.99940828402366866</v>
          </cell>
          <cell r="S166">
            <v>0</v>
          </cell>
          <cell r="T166">
            <v>3.8769804287045663E-2</v>
          </cell>
          <cell r="U166">
            <v>0.75</v>
          </cell>
          <cell r="V166">
            <v>0.75</v>
          </cell>
        </row>
        <row r="167">
          <cell r="Q167">
            <v>0.70285714285714285</v>
          </cell>
          <cell r="R167">
            <v>0.99940828402366866</v>
          </cell>
          <cell r="S167">
            <v>1</v>
          </cell>
          <cell r="T167">
            <v>0</v>
          </cell>
          <cell r="U167">
            <v>0</v>
          </cell>
          <cell r="V167">
            <v>0</v>
          </cell>
        </row>
        <row r="168">
          <cell r="Q168">
            <v>0.70285714285714285</v>
          </cell>
          <cell r="R168">
            <v>0.99940828402366866</v>
          </cell>
          <cell r="S168">
            <v>1</v>
          </cell>
          <cell r="T168">
            <v>0</v>
          </cell>
          <cell r="U168">
            <v>0</v>
          </cell>
          <cell r="V168">
            <v>0</v>
          </cell>
        </row>
        <row r="169">
          <cell r="Q169">
            <v>0.49428571428571427</v>
          </cell>
          <cell r="R169">
            <v>0.99940828402366866</v>
          </cell>
          <cell r="S169">
            <v>0</v>
          </cell>
          <cell r="T169">
            <v>0</v>
          </cell>
          <cell r="U169">
            <v>0.75</v>
          </cell>
          <cell r="V169">
            <v>0</v>
          </cell>
        </row>
        <row r="170">
          <cell r="Q170">
            <v>0.11714285714285715</v>
          </cell>
          <cell r="R170">
            <v>0.99940828402366866</v>
          </cell>
          <cell r="S170">
            <v>0</v>
          </cell>
          <cell r="T170">
            <v>0</v>
          </cell>
          <cell r="U170">
            <v>0.75</v>
          </cell>
          <cell r="V170">
            <v>0.75</v>
          </cell>
        </row>
        <row r="171">
          <cell r="Q171">
            <v>0.28285714285714286</v>
          </cell>
          <cell r="R171">
            <v>0.99940828402366866</v>
          </cell>
          <cell r="S171">
            <v>1</v>
          </cell>
          <cell r="T171">
            <v>1</v>
          </cell>
          <cell r="U171">
            <v>0.5</v>
          </cell>
          <cell r="V171">
            <v>0</v>
          </cell>
        </row>
        <row r="172">
          <cell r="Q172">
            <v>0.28285714285714286</v>
          </cell>
          <cell r="R172">
            <v>0.99940828402366866</v>
          </cell>
          <cell r="S172">
            <v>1</v>
          </cell>
          <cell r="T172">
            <v>1</v>
          </cell>
          <cell r="U172">
            <v>0.5</v>
          </cell>
          <cell r="V172">
            <v>0</v>
          </cell>
        </row>
        <row r="173">
          <cell r="Q173">
            <v>0.06</v>
          </cell>
          <cell r="R173">
            <v>0.99940828402366866</v>
          </cell>
          <cell r="S173">
            <v>0</v>
          </cell>
          <cell r="T173">
            <v>0</v>
          </cell>
          <cell r="U173">
            <v>0.5</v>
          </cell>
          <cell r="V173">
            <v>1.1091458153580673</v>
          </cell>
        </row>
        <row r="174">
          <cell r="Q174">
            <v>0.42857142857142855</v>
          </cell>
          <cell r="R174">
            <v>0.99940828402366866</v>
          </cell>
          <cell r="S174">
            <v>0</v>
          </cell>
          <cell r="T174">
            <v>0</v>
          </cell>
          <cell r="U174">
            <v>0.75</v>
          </cell>
          <cell r="V174">
            <v>0.12112676056338029</v>
          </cell>
        </row>
        <row r="175">
          <cell r="Q175">
            <v>0.5714285714285714</v>
          </cell>
          <cell r="R175">
            <v>0.99940828402366866</v>
          </cell>
          <cell r="S175">
            <v>0</v>
          </cell>
          <cell r="T175">
            <v>1</v>
          </cell>
          <cell r="U175">
            <v>0.25</v>
          </cell>
          <cell r="V175">
            <v>0</v>
          </cell>
        </row>
        <row r="176">
          <cell r="Q176">
            <v>0.11142857142857143</v>
          </cell>
          <cell r="R176">
            <v>0.99940828402366866</v>
          </cell>
          <cell r="S176">
            <v>0</v>
          </cell>
          <cell r="T176">
            <v>0</v>
          </cell>
          <cell r="U176">
            <v>0.75</v>
          </cell>
          <cell r="V176">
            <v>0.75</v>
          </cell>
        </row>
        <row r="177">
          <cell r="Q177">
            <v>0.11142857142857143</v>
          </cell>
          <cell r="R177">
            <v>0.99940828402366866</v>
          </cell>
          <cell r="S177">
            <v>0</v>
          </cell>
          <cell r="T177">
            <v>0</v>
          </cell>
          <cell r="U177">
            <v>0.75</v>
          </cell>
          <cell r="V177">
            <v>0.75</v>
          </cell>
        </row>
        <row r="178">
          <cell r="Q178">
            <v>0.13714285714285715</v>
          </cell>
          <cell r="R178">
            <v>0.99940828402366866</v>
          </cell>
          <cell r="S178">
            <v>0</v>
          </cell>
          <cell r="T178">
            <v>0.12352516253310859</v>
          </cell>
          <cell r="U178">
            <v>0.75</v>
          </cell>
          <cell r="V178">
            <v>0.65609198169997596</v>
          </cell>
        </row>
        <row r="179">
          <cell r="Q179">
            <v>0.10857142857142857</v>
          </cell>
          <cell r="R179">
            <v>0.99940828402366866</v>
          </cell>
          <cell r="S179">
            <v>0</v>
          </cell>
          <cell r="T179">
            <v>0</v>
          </cell>
          <cell r="U179">
            <v>0.75</v>
          </cell>
          <cell r="V179">
            <v>0.75</v>
          </cell>
        </row>
        <row r="180">
          <cell r="Q180">
            <v>0.35714285714285715</v>
          </cell>
          <cell r="R180">
            <v>0.99940828402366866</v>
          </cell>
          <cell r="S180">
            <v>0</v>
          </cell>
          <cell r="T180">
            <v>0</v>
          </cell>
          <cell r="U180">
            <v>1</v>
          </cell>
          <cell r="V180">
            <v>0</v>
          </cell>
        </row>
        <row r="181">
          <cell r="Q181">
            <v>6.5714285714285711E-2</v>
          </cell>
          <cell r="R181">
            <v>0.99940828402366866</v>
          </cell>
          <cell r="S181">
            <v>0</v>
          </cell>
          <cell r="T181">
            <v>0.34138486312399358</v>
          </cell>
          <cell r="U181">
            <v>0.75</v>
          </cell>
          <cell r="V181">
            <v>0.71859903381642509</v>
          </cell>
        </row>
        <row r="182">
          <cell r="Q182">
            <v>0.10571428571428572</v>
          </cell>
          <cell r="R182">
            <v>0.99940828402366866</v>
          </cell>
          <cell r="S182">
            <v>0</v>
          </cell>
          <cell r="T182">
            <v>0</v>
          </cell>
          <cell r="U182">
            <v>0.75</v>
          </cell>
          <cell r="V182">
            <v>0.75</v>
          </cell>
        </row>
        <row r="183">
          <cell r="Q183">
            <v>0.14000000000000001</v>
          </cell>
          <cell r="R183">
            <v>0.99940828402366866</v>
          </cell>
          <cell r="S183">
            <v>0</v>
          </cell>
          <cell r="T183">
            <v>0</v>
          </cell>
          <cell r="U183">
            <v>0.75</v>
          </cell>
          <cell r="V183">
            <v>0.67839195979899503</v>
          </cell>
        </row>
        <row r="184">
          <cell r="Q184">
            <v>0.10285714285714286</v>
          </cell>
          <cell r="R184">
            <v>0.99940828402366866</v>
          </cell>
          <cell r="S184">
            <v>0</v>
          </cell>
          <cell r="T184">
            <v>0</v>
          </cell>
          <cell r="U184">
            <v>0.5</v>
          </cell>
          <cell r="V184">
            <v>1</v>
          </cell>
        </row>
        <row r="185">
          <cell r="Q185">
            <v>0.25714285714285712</v>
          </cell>
          <cell r="R185">
            <v>0.99940828402366866</v>
          </cell>
          <cell r="S185">
            <v>0</v>
          </cell>
          <cell r="T185">
            <v>0</v>
          </cell>
          <cell r="U185">
            <v>0.75</v>
          </cell>
          <cell r="V185">
            <v>0.43725707940033315</v>
          </cell>
        </row>
        <row r="186">
          <cell r="Q186">
            <v>5.7142857142857141E-2</v>
          </cell>
          <cell r="R186">
            <v>0.99940828402366866</v>
          </cell>
          <cell r="S186">
            <v>0</v>
          </cell>
          <cell r="T186">
            <v>1</v>
          </cell>
          <cell r="U186">
            <v>0.5</v>
          </cell>
          <cell r="V186">
            <v>0.75</v>
          </cell>
        </row>
        <row r="187">
          <cell r="Q187">
            <v>0.42857142857142855</v>
          </cell>
          <cell r="R187">
            <v>0.99940828402366866</v>
          </cell>
          <cell r="S187">
            <v>0</v>
          </cell>
          <cell r="T187">
            <v>0</v>
          </cell>
          <cell r="U187">
            <v>0.75</v>
          </cell>
          <cell r="V187">
            <v>8.7225929456625356E-2</v>
          </cell>
        </row>
        <row r="188">
          <cell r="Q188">
            <v>9.7142857142857142E-2</v>
          </cell>
          <cell r="R188">
            <v>0.99940828402366866</v>
          </cell>
          <cell r="S188">
            <v>0</v>
          </cell>
          <cell r="T188">
            <v>0</v>
          </cell>
          <cell r="U188">
            <v>0.75</v>
          </cell>
          <cell r="V188">
            <v>0.75</v>
          </cell>
        </row>
        <row r="189">
          <cell r="Q189">
            <v>0.26285714285714284</v>
          </cell>
          <cell r="R189">
            <v>0.99940828402366866</v>
          </cell>
          <cell r="S189">
            <v>1</v>
          </cell>
          <cell r="T189">
            <v>1</v>
          </cell>
          <cell r="U189">
            <v>0.5</v>
          </cell>
          <cell r="V189">
            <v>0</v>
          </cell>
        </row>
        <row r="190">
          <cell r="Q190">
            <v>0.3457142857142857</v>
          </cell>
          <cell r="R190">
            <v>0.99940828402366866</v>
          </cell>
          <cell r="S190">
            <v>0</v>
          </cell>
          <cell r="T190">
            <v>0</v>
          </cell>
          <cell r="U190">
            <v>1</v>
          </cell>
          <cell r="V190">
            <v>0</v>
          </cell>
        </row>
        <row r="191">
          <cell r="Q191">
            <v>9.4285714285714292E-2</v>
          </cell>
          <cell r="R191">
            <v>0.99940828402366866</v>
          </cell>
          <cell r="S191">
            <v>0</v>
          </cell>
          <cell r="T191">
            <v>0</v>
          </cell>
          <cell r="U191">
            <v>0.75</v>
          </cell>
          <cell r="V191">
            <v>0.75</v>
          </cell>
        </row>
        <row r="192">
          <cell r="Q192">
            <v>0.31428571428571428</v>
          </cell>
          <cell r="R192">
            <v>0.99940828402366866</v>
          </cell>
          <cell r="S192">
            <v>0</v>
          </cell>
          <cell r="T192">
            <v>0</v>
          </cell>
          <cell r="U192">
            <v>0.5</v>
          </cell>
          <cell r="V192">
            <v>0.55409090909090908</v>
          </cell>
        </row>
        <row r="193">
          <cell r="Q193">
            <v>0.18857142857142858</v>
          </cell>
          <cell r="R193">
            <v>0.99940828402366866</v>
          </cell>
          <cell r="S193">
            <v>0</v>
          </cell>
          <cell r="T193">
            <v>0.1640433718083246</v>
          </cell>
          <cell r="U193">
            <v>0.5</v>
          </cell>
          <cell r="V193">
            <v>0.75</v>
          </cell>
        </row>
        <row r="194">
          <cell r="Q194">
            <v>9.1428571428571428E-2</v>
          </cell>
          <cell r="R194">
            <v>0.99940828402366866</v>
          </cell>
          <cell r="S194">
            <v>0</v>
          </cell>
          <cell r="T194">
            <v>0</v>
          </cell>
          <cell r="U194">
            <v>0.75</v>
          </cell>
          <cell r="V194">
            <v>0.74887019834295754</v>
          </cell>
        </row>
        <row r="195">
          <cell r="Q195">
            <v>0.29714285714285715</v>
          </cell>
          <cell r="R195">
            <v>0.99940828402366866</v>
          </cell>
          <cell r="S195">
            <v>0</v>
          </cell>
          <cell r="T195">
            <v>1</v>
          </cell>
          <cell r="U195">
            <v>0.75</v>
          </cell>
          <cell r="V195">
            <v>0</v>
          </cell>
        </row>
        <row r="196">
          <cell r="Q196">
            <v>0.35142857142857142</v>
          </cell>
          <cell r="R196">
            <v>0.99940828402366866</v>
          </cell>
          <cell r="S196">
            <v>0</v>
          </cell>
          <cell r="T196">
            <v>0.6652477956825783</v>
          </cell>
          <cell r="U196">
            <v>0.75</v>
          </cell>
          <cell r="V196">
            <v>0</v>
          </cell>
        </row>
        <row r="197">
          <cell r="Q197">
            <v>8.5714285714285715E-2</v>
          </cell>
          <cell r="R197">
            <v>0.99940828402366866</v>
          </cell>
          <cell r="S197">
            <v>0</v>
          </cell>
          <cell r="T197">
            <v>0</v>
          </cell>
          <cell r="U197">
            <v>0.75</v>
          </cell>
          <cell r="V197">
            <v>0.75</v>
          </cell>
        </row>
        <row r="198">
          <cell r="Q198">
            <v>8.5714285714285715E-2</v>
          </cell>
          <cell r="R198">
            <v>0.99940828402366866</v>
          </cell>
          <cell r="S198">
            <v>0</v>
          </cell>
          <cell r="T198">
            <v>0</v>
          </cell>
          <cell r="U198">
            <v>0.75</v>
          </cell>
          <cell r="V198">
            <v>0.75</v>
          </cell>
        </row>
        <row r="199">
          <cell r="Q199">
            <v>0.21714285714285714</v>
          </cell>
          <cell r="R199">
            <v>0.99940828402366866</v>
          </cell>
          <cell r="S199">
            <v>0</v>
          </cell>
          <cell r="T199">
            <v>0</v>
          </cell>
          <cell r="U199">
            <v>0.5</v>
          </cell>
          <cell r="V199">
            <v>0.73700747282608692</v>
          </cell>
        </row>
        <row r="200">
          <cell r="Q200">
            <v>8.2857142857142851E-2</v>
          </cell>
          <cell r="R200">
            <v>0.99940828402366866</v>
          </cell>
          <cell r="S200">
            <v>0</v>
          </cell>
          <cell r="T200">
            <v>1.6717325227963525E-2</v>
          </cell>
          <cell r="U200">
            <v>0.75</v>
          </cell>
          <cell r="V200">
            <v>0.75</v>
          </cell>
        </row>
        <row r="201">
          <cell r="Q201">
            <v>8.2857142857142851E-2</v>
          </cell>
          <cell r="R201">
            <v>0.99940828402366866</v>
          </cell>
          <cell r="S201">
            <v>0</v>
          </cell>
          <cell r="T201">
            <v>1.2204424103737605E-2</v>
          </cell>
          <cell r="U201">
            <v>0.75</v>
          </cell>
          <cell r="V201">
            <v>0.75</v>
          </cell>
        </row>
        <row r="202">
          <cell r="Q202">
            <v>8.5714285714285715E-2</v>
          </cell>
          <cell r="R202">
            <v>0.99940828402366866</v>
          </cell>
          <cell r="S202">
            <v>0</v>
          </cell>
          <cell r="T202">
            <v>0</v>
          </cell>
          <cell r="U202">
            <v>0.75</v>
          </cell>
          <cell r="V202">
            <v>0.7472411717495987</v>
          </cell>
        </row>
        <row r="203">
          <cell r="Q203">
            <v>0.41714285714285715</v>
          </cell>
          <cell r="R203">
            <v>0.99940828402366866</v>
          </cell>
          <cell r="S203">
            <v>1</v>
          </cell>
          <cell r="T203">
            <v>0</v>
          </cell>
          <cell r="U203">
            <v>0.5</v>
          </cell>
          <cell r="V203">
            <v>0</v>
          </cell>
        </row>
        <row r="204">
          <cell r="Q204">
            <v>0.29142857142857143</v>
          </cell>
          <cell r="R204">
            <v>0.99940828402366866</v>
          </cell>
          <cell r="S204">
            <v>1</v>
          </cell>
          <cell r="T204">
            <v>0</v>
          </cell>
          <cell r="U204">
            <v>0.75</v>
          </cell>
          <cell r="V204">
            <v>0</v>
          </cell>
        </row>
        <row r="205">
          <cell r="Q205">
            <v>8.2857142857142851E-2</v>
          </cell>
          <cell r="R205">
            <v>0.99940828402366866</v>
          </cell>
          <cell r="S205">
            <v>0</v>
          </cell>
          <cell r="T205">
            <v>0</v>
          </cell>
          <cell r="U205">
            <v>0.75</v>
          </cell>
          <cell r="V205">
            <v>0.75</v>
          </cell>
        </row>
        <row r="206">
          <cell r="Q206">
            <v>8.2857142857142851E-2</v>
          </cell>
          <cell r="R206">
            <v>0.99940828402366866</v>
          </cell>
          <cell r="S206">
            <v>0</v>
          </cell>
          <cell r="T206">
            <v>0</v>
          </cell>
          <cell r="U206">
            <v>0.75</v>
          </cell>
          <cell r="V206">
            <v>0.75</v>
          </cell>
        </row>
        <row r="207">
          <cell r="Q207">
            <v>8.2857142857142851E-2</v>
          </cell>
          <cell r="R207">
            <v>0.99940828402366866</v>
          </cell>
          <cell r="S207">
            <v>0</v>
          </cell>
          <cell r="T207">
            <v>0</v>
          </cell>
          <cell r="U207">
            <v>0.75</v>
          </cell>
          <cell r="V207">
            <v>0.75</v>
          </cell>
        </row>
        <row r="208">
          <cell r="Q208">
            <v>8.2857142857142851E-2</v>
          </cell>
          <cell r="R208">
            <v>0.99940828402366866</v>
          </cell>
          <cell r="S208">
            <v>0</v>
          </cell>
          <cell r="T208">
            <v>0</v>
          </cell>
          <cell r="U208">
            <v>0.75</v>
          </cell>
          <cell r="V208">
            <v>0.75</v>
          </cell>
        </row>
        <row r="209">
          <cell r="Q209">
            <v>0.15142857142857144</v>
          </cell>
          <cell r="R209">
            <v>0.99940828402366866</v>
          </cell>
          <cell r="S209">
            <v>1</v>
          </cell>
          <cell r="T209">
            <v>0.81359649122807021</v>
          </cell>
          <cell r="U209">
            <v>0.75</v>
          </cell>
          <cell r="V209">
            <v>0</v>
          </cell>
        </row>
        <row r="210">
          <cell r="Q210">
            <v>0.20285714285714285</v>
          </cell>
          <cell r="R210">
            <v>0.99940828402366866</v>
          </cell>
          <cell r="S210">
            <v>0</v>
          </cell>
          <cell r="T210">
            <v>0</v>
          </cell>
          <cell r="U210">
            <v>0.5</v>
          </cell>
          <cell r="V210">
            <v>0.75</v>
          </cell>
        </row>
        <row r="211">
          <cell r="Q211">
            <v>0.20285714285714285</v>
          </cell>
          <cell r="R211">
            <v>0.99940828402366866</v>
          </cell>
          <cell r="S211">
            <v>0</v>
          </cell>
          <cell r="T211">
            <v>0</v>
          </cell>
          <cell r="U211">
            <v>0.5</v>
          </cell>
          <cell r="V211">
            <v>0.75</v>
          </cell>
        </row>
        <row r="212">
          <cell r="Q212">
            <v>7.7142857142857138E-2</v>
          </cell>
          <cell r="R212">
            <v>0.99940828402366866</v>
          </cell>
          <cell r="S212">
            <v>0</v>
          </cell>
          <cell r="T212">
            <v>0</v>
          </cell>
          <cell r="U212">
            <v>0.75</v>
          </cell>
          <cell r="V212">
            <v>0.75</v>
          </cell>
        </row>
        <row r="213">
          <cell r="Q213">
            <v>7.7142857142857138E-2</v>
          </cell>
          <cell r="R213">
            <v>0.99940828402366866</v>
          </cell>
          <cell r="S213">
            <v>0</v>
          </cell>
          <cell r="T213">
            <v>0</v>
          </cell>
          <cell r="U213">
            <v>0.75</v>
          </cell>
          <cell r="V213">
            <v>0.75</v>
          </cell>
        </row>
        <row r="214">
          <cell r="Q214">
            <v>7.7142857142857138E-2</v>
          </cell>
          <cell r="R214">
            <v>0.99940828402366866</v>
          </cell>
          <cell r="S214">
            <v>0</v>
          </cell>
          <cell r="T214">
            <v>0</v>
          </cell>
          <cell r="U214">
            <v>0.75</v>
          </cell>
          <cell r="V214">
            <v>0.75</v>
          </cell>
        </row>
        <row r="215">
          <cell r="Q215">
            <v>0.44857142857142857</v>
          </cell>
          <cell r="R215">
            <v>0.99940828402366866</v>
          </cell>
          <cell r="S215">
            <v>0</v>
          </cell>
          <cell r="T215">
            <v>0</v>
          </cell>
          <cell r="U215">
            <v>0.75</v>
          </cell>
          <cell r="V215">
            <v>0</v>
          </cell>
        </row>
        <row r="216">
          <cell r="Q216">
            <v>0.11142857142857143</v>
          </cell>
          <cell r="R216">
            <v>0.99940828402366866</v>
          </cell>
          <cell r="S216">
            <v>0</v>
          </cell>
          <cell r="T216">
            <v>0</v>
          </cell>
          <cell r="U216">
            <v>0.75</v>
          </cell>
          <cell r="V216">
            <v>0.67388176824483392</v>
          </cell>
        </row>
        <row r="217">
          <cell r="Q217">
            <v>7.1428571428571425E-2</v>
          </cell>
          <cell r="R217">
            <v>0.99940828402366866</v>
          </cell>
          <cell r="S217">
            <v>0</v>
          </cell>
          <cell r="T217">
            <v>0</v>
          </cell>
          <cell r="U217">
            <v>0.75</v>
          </cell>
          <cell r="V217">
            <v>0.75</v>
          </cell>
        </row>
        <row r="218">
          <cell r="Q218">
            <v>7.1428571428571425E-2</v>
          </cell>
          <cell r="R218">
            <v>0.99940828402366866</v>
          </cell>
          <cell r="S218">
            <v>0</v>
          </cell>
          <cell r="T218">
            <v>0</v>
          </cell>
          <cell r="U218">
            <v>0.75</v>
          </cell>
          <cell r="V218">
            <v>0.75</v>
          </cell>
        </row>
        <row r="219">
          <cell r="Q219">
            <v>0.2257142857142857</v>
          </cell>
          <cell r="R219">
            <v>0.99940828402366866</v>
          </cell>
          <cell r="S219">
            <v>0</v>
          </cell>
          <cell r="T219">
            <v>0</v>
          </cell>
          <cell r="U219">
            <v>0.75</v>
          </cell>
          <cell r="V219">
            <v>0.44123314065510599</v>
          </cell>
        </row>
        <row r="220">
          <cell r="Q220">
            <v>7.4285714285714288E-2</v>
          </cell>
          <cell r="R220">
            <v>0.99940828402366866</v>
          </cell>
          <cell r="S220">
            <v>0</v>
          </cell>
          <cell r="T220">
            <v>0</v>
          </cell>
          <cell r="U220">
            <v>0.75</v>
          </cell>
          <cell r="V220">
            <v>0.74316487158243583</v>
          </cell>
        </row>
        <row r="221">
          <cell r="Q221">
            <v>6.5714285714285711E-2</v>
          </cell>
          <cell r="R221">
            <v>0.99940828402366866</v>
          </cell>
          <cell r="S221">
            <v>0</v>
          </cell>
          <cell r="T221">
            <v>0</v>
          </cell>
          <cell r="U221">
            <v>0.75</v>
          </cell>
          <cell r="V221">
            <v>0.75</v>
          </cell>
        </row>
        <row r="222">
          <cell r="Q222">
            <v>0.39714285714285713</v>
          </cell>
          <cell r="R222">
            <v>0.99940828402366866</v>
          </cell>
          <cell r="S222">
            <v>0</v>
          </cell>
          <cell r="T222">
            <v>1</v>
          </cell>
          <cell r="U222">
            <v>0.5</v>
          </cell>
          <cell r="V222">
            <v>0</v>
          </cell>
        </row>
        <row r="223">
          <cell r="Q223">
            <v>0.18857142857142858</v>
          </cell>
          <cell r="R223">
            <v>0.99940828402366866</v>
          </cell>
          <cell r="S223">
            <v>0</v>
          </cell>
          <cell r="T223">
            <v>0</v>
          </cell>
          <cell r="U223">
            <v>0.5</v>
          </cell>
          <cell r="V223">
            <v>0.75</v>
          </cell>
        </row>
        <row r="224">
          <cell r="Q224">
            <v>0.18857142857142858</v>
          </cell>
          <cell r="R224">
            <v>0.99940828402366866</v>
          </cell>
          <cell r="S224">
            <v>0</v>
          </cell>
          <cell r="T224">
            <v>0</v>
          </cell>
          <cell r="U224">
            <v>0.5</v>
          </cell>
          <cell r="V224">
            <v>0.75</v>
          </cell>
        </row>
        <row r="225">
          <cell r="Q225">
            <v>0.17714285714285713</v>
          </cell>
          <cell r="R225">
            <v>0.99940828402366866</v>
          </cell>
          <cell r="S225">
            <v>0</v>
          </cell>
          <cell r="T225">
            <v>0.81677018633540377</v>
          </cell>
          <cell r="U225">
            <v>1</v>
          </cell>
          <cell r="V225">
            <v>0</v>
          </cell>
        </row>
        <row r="226">
          <cell r="Q226">
            <v>0.27142857142857141</v>
          </cell>
          <cell r="R226">
            <v>0.99940828402366866</v>
          </cell>
          <cell r="S226">
            <v>0</v>
          </cell>
          <cell r="T226">
            <v>1</v>
          </cell>
          <cell r="U226">
            <v>0.75</v>
          </cell>
          <cell r="V226">
            <v>0</v>
          </cell>
        </row>
        <row r="227">
          <cell r="Q227">
            <v>6.2857142857142861E-2</v>
          </cell>
          <cell r="R227">
            <v>0.99940828402366866</v>
          </cell>
          <cell r="S227">
            <v>0</v>
          </cell>
          <cell r="T227">
            <v>0</v>
          </cell>
          <cell r="U227">
            <v>0.75</v>
          </cell>
          <cell r="V227">
            <v>0.75</v>
          </cell>
        </row>
        <row r="228">
          <cell r="Q228">
            <v>0.06</v>
          </cell>
          <cell r="R228">
            <v>0.99940828402366866</v>
          </cell>
          <cell r="S228">
            <v>0</v>
          </cell>
          <cell r="T228">
            <v>1.6036308623298034E-2</v>
          </cell>
          <cell r="U228">
            <v>0.75</v>
          </cell>
          <cell r="V228">
            <v>0.7477307110438729</v>
          </cell>
        </row>
        <row r="229">
          <cell r="Q229">
            <v>0.15428571428571428</v>
          </cell>
          <cell r="R229">
            <v>0.99940828402366866</v>
          </cell>
          <cell r="S229">
            <v>0</v>
          </cell>
          <cell r="T229">
            <v>0.17109404507113182</v>
          </cell>
          <cell r="U229">
            <v>0.75</v>
          </cell>
          <cell r="V229">
            <v>0.50620042804985521</v>
          </cell>
        </row>
        <row r="230">
          <cell r="Q230">
            <v>0.06</v>
          </cell>
          <cell r="R230">
            <v>0.99940828402366866</v>
          </cell>
          <cell r="S230">
            <v>0</v>
          </cell>
          <cell r="T230">
            <v>0</v>
          </cell>
          <cell r="U230">
            <v>0.75</v>
          </cell>
          <cell r="V230">
            <v>0.75</v>
          </cell>
        </row>
        <row r="231">
          <cell r="Q231">
            <v>0.06</v>
          </cell>
          <cell r="R231">
            <v>0.99940828402366866</v>
          </cell>
          <cell r="S231">
            <v>0</v>
          </cell>
          <cell r="T231">
            <v>0</v>
          </cell>
          <cell r="U231">
            <v>0.75</v>
          </cell>
          <cell r="V231">
            <v>0.75</v>
          </cell>
        </row>
        <row r="232">
          <cell r="Q232">
            <v>0.06</v>
          </cell>
          <cell r="R232">
            <v>0.99940828402366866</v>
          </cell>
          <cell r="S232">
            <v>0</v>
          </cell>
          <cell r="T232">
            <v>0</v>
          </cell>
          <cell r="U232">
            <v>0.75</v>
          </cell>
          <cell r="V232">
            <v>0.75</v>
          </cell>
        </row>
        <row r="233">
          <cell r="Q233">
            <v>0.06</v>
          </cell>
          <cell r="R233">
            <v>0.99940828402366866</v>
          </cell>
          <cell r="S233">
            <v>0</v>
          </cell>
          <cell r="T233">
            <v>0</v>
          </cell>
          <cell r="U233">
            <v>0.75</v>
          </cell>
          <cell r="V233">
            <v>0.75</v>
          </cell>
        </row>
        <row r="234">
          <cell r="Q234">
            <v>0.24</v>
          </cell>
          <cell r="R234">
            <v>0.99940828402366866</v>
          </cell>
          <cell r="S234">
            <v>1</v>
          </cell>
          <cell r="T234">
            <v>0</v>
          </cell>
          <cell r="U234">
            <v>0.5</v>
          </cell>
          <cell r="V234">
            <v>0.30646359583952454</v>
          </cell>
        </row>
        <row r="235">
          <cell r="Q235">
            <v>0.20285714285714285</v>
          </cell>
          <cell r="R235">
            <v>0.99940828402366866</v>
          </cell>
          <cell r="S235">
            <v>0</v>
          </cell>
          <cell r="T235">
            <v>0</v>
          </cell>
          <cell r="U235">
            <v>1</v>
          </cell>
          <cell r="V235">
            <v>0.2134646962233169</v>
          </cell>
        </row>
        <row r="236">
          <cell r="Q236">
            <v>6.2857142857142861E-2</v>
          </cell>
          <cell r="R236">
            <v>0.99940828402366866</v>
          </cell>
          <cell r="S236">
            <v>0</v>
          </cell>
          <cell r="T236">
            <v>0</v>
          </cell>
          <cell r="U236">
            <v>0.75</v>
          </cell>
          <cell r="V236">
            <v>0.74241786015164279</v>
          </cell>
        </row>
        <row r="237">
          <cell r="Q237">
            <v>5.7142857142857141E-2</v>
          </cell>
          <cell r="R237">
            <v>0.99940828402366866</v>
          </cell>
          <cell r="S237">
            <v>0</v>
          </cell>
          <cell r="T237">
            <v>0</v>
          </cell>
          <cell r="U237">
            <v>0.75</v>
          </cell>
          <cell r="V237">
            <v>0.75</v>
          </cell>
        </row>
        <row r="238">
          <cell r="Q238">
            <v>5.7142857142857141E-2</v>
          </cell>
          <cell r="R238">
            <v>0.99940828402366866</v>
          </cell>
          <cell r="S238">
            <v>0</v>
          </cell>
          <cell r="T238">
            <v>0</v>
          </cell>
          <cell r="U238">
            <v>0.75</v>
          </cell>
          <cell r="V238">
            <v>0.75</v>
          </cell>
        </row>
        <row r="239">
          <cell r="Q239">
            <v>5.1428571428571428E-2</v>
          </cell>
          <cell r="R239">
            <v>0.99940828402366866</v>
          </cell>
          <cell r="S239">
            <v>0</v>
          </cell>
          <cell r="T239">
            <v>3.2130421019309907E-2</v>
          </cell>
          <cell r="U239">
            <v>0.75</v>
          </cell>
          <cell r="V239">
            <v>0.75</v>
          </cell>
        </row>
        <row r="240">
          <cell r="Q240">
            <v>0.14000000000000001</v>
          </cell>
          <cell r="R240">
            <v>0.99940828402366866</v>
          </cell>
          <cell r="S240">
            <v>0</v>
          </cell>
          <cell r="T240">
            <v>1</v>
          </cell>
          <cell r="U240">
            <v>1</v>
          </cell>
          <cell r="V240">
            <v>0</v>
          </cell>
        </row>
        <row r="241">
          <cell r="Q241">
            <v>0.14000000000000001</v>
          </cell>
          <cell r="R241">
            <v>0.99940828402366866</v>
          </cell>
          <cell r="S241">
            <v>0</v>
          </cell>
          <cell r="T241">
            <v>1</v>
          </cell>
          <cell r="U241">
            <v>1</v>
          </cell>
          <cell r="V241">
            <v>0</v>
          </cell>
        </row>
        <row r="242">
          <cell r="Q242">
            <v>0.14000000000000001</v>
          </cell>
          <cell r="R242">
            <v>0.99940828402366866</v>
          </cell>
          <cell r="S242">
            <v>0</v>
          </cell>
          <cell r="T242">
            <v>1</v>
          </cell>
          <cell r="U242">
            <v>1</v>
          </cell>
          <cell r="V242">
            <v>0</v>
          </cell>
        </row>
        <row r="243">
          <cell r="Q243">
            <v>0.14000000000000001</v>
          </cell>
          <cell r="R243">
            <v>0.99940828402366866</v>
          </cell>
          <cell r="S243">
            <v>0</v>
          </cell>
          <cell r="T243">
            <v>1</v>
          </cell>
          <cell r="U243">
            <v>1</v>
          </cell>
          <cell r="V243">
            <v>0</v>
          </cell>
        </row>
        <row r="244">
          <cell r="Q244">
            <v>0.14000000000000001</v>
          </cell>
          <cell r="R244">
            <v>0.99940828402366866</v>
          </cell>
          <cell r="S244">
            <v>0</v>
          </cell>
          <cell r="T244">
            <v>1</v>
          </cell>
          <cell r="U244">
            <v>1</v>
          </cell>
          <cell r="V244">
            <v>0</v>
          </cell>
        </row>
        <row r="245">
          <cell r="Q245">
            <v>0.14000000000000001</v>
          </cell>
          <cell r="R245">
            <v>0.99940828402366866</v>
          </cell>
          <cell r="S245">
            <v>0</v>
          </cell>
          <cell r="T245">
            <v>1</v>
          </cell>
          <cell r="U245">
            <v>1</v>
          </cell>
          <cell r="V245">
            <v>0</v>
          </cell>
        </row>
        <row r="246">
          <cell r="Q246">
            <v>5.7142857142857141E-2</v>
          </cell>
          <cell r="R246">
            <v>0.99940828402366866</v>
          </cell>
          <cell r="S246">
            <v>0</v>
          </cell>
          <cell r="T246">
            <v>0</v>
          </cell>
          <cell r="U246">
            <v>0.75</v>
          </cell>
          <cell r="V246">
            <v>0.74885321100917435</v>
          </cell>
        </row>
        <row r="247">
          <cell r="Q247">
            <v>0.2</v>
          </cell>
          <cell r="R247">
            <v>0.99940828402366866</v>
          </cell>
          <cell r="S247">
            <v>0</v>
          </cell>
          <cell r="T247">
            <v>0.86988768806950623</v>
          </cell>
          <cell r="U247">
            <v>0.5</v>
          </cell>
          <cell r="V247">
            <v>0.42196439923712653</v>
          </cell>
        </row>
        <row r="248">
          <cell r="Q248">
            <v>0.38857142857142857</v>
          </cell>
          <cell r="R248">
            <v>0.99940828402366866</v>
          </cell>
          <cell r="S248">
            <v>1</v>
          </cell>
          <cell r="T248">
            <v>0</v>
          </cell>
          <cell r="U248">
            <v>0.5</v>
          </cell>
          <cell r="V248">
            <v>0</v>
          </cell>
        </row>
        <row r="249">
          <cell r="Q249">
            <v>0.14571428571428571</v>
          </cell>
          <cell r="R249">
            <v>0.99940828402366866</v>
          </cell>
          <cell r="S249">
            <v>0</v>
          </cell>
          <cell r="T249">
            <v>0.45241809672386896</v>
          </cell>
          <cell r="U249">
            <v>0.75</v>
          </cell>
          <cell r="V249">
            <v>0.41787385781145531</v>
          </cell>
        </row>
        <row r="250">
          <cell r="Q250">
            <v>5.4285714285714284E-2</v>
          </cell>
          <cell r="R250">
            <v>0.99940828402366866</v>
          </cell>
          <cell r="S250">
            <v>0</v>
          </cell>
          <cell r="T250">
            <v>0</v>
          </cell>
          <cell r="U250">
            <v>0.75</v>
          </cell>
          <cell r="V250">
            <v>0.75</v>
          </cell>
        </row>
        <row r="251">
          <cell r="Q251">
            <v>6.5714285714285711E-2</v>
          </cell>
          <cell r="R251">
            <v>0.99940828402366866</v>
          </cell>
          <cell r="S251">
            <v>0</v>
          </cell>
          <cell r="T251">
            <v>0.68136503067484666</v>
          </cell>
          <cell r="U251">
            <v>0.5</v>
          </cell>
          <cell r="V251">
            <v>0.75</v>
          </cell>
        </row>
        <row r="252">
          <cell r="Q252">
            <v>0.51142857142857145</v>
          </cell>
          <cell r="R252">
            <v>0.99940828402366866</v>
          </cell>
          <cell r="S252">
            <v>0</v>
          </cell>
          <cell r="T252">
            <v>1</v>
          </cell>
          <cell r="U252">
            <v>0.25</v>
          </cell>
          <cell r="V252">
            <v>0</v>
          </cell>
        </row>
        <row r="253">
          <cell r="Q253">
            <v>0.26</v>
          </cell>
          <cell r="R253">
            <v>0.99940828402366866</v>
          </cell>
          <cell r="S253">
            <v>1</v>
          </cell>
          <cell r="T253">
            <v>0</v>
          </cell>
          <cell r="U253">
            <v>0.75</v>
          </cell>
          <cell r="V253">
            <v>0</v>
          </cell>
        </row>
        <row r="254">
          <cell r="Q254">
            <v>0.30285714285714288</v>
          </cell>
          <cell r="R254">
            <v>0.99940828402366866</v>
          </cell>
          <cell r="S254">
            <v>0</v>
          </cell>
          <cell r="T254">
            <v>0</v>
          </cell>
          <cell r="U254">
            <v>0.75</v>
          </cell>
          <cell r="V254">
            <v>0.2448248407643312</v>
          </cell>
        </row>
        <row r="255">
          <cell r="Q255">
            <v>0.3</v>
          </cell>
          <cell r="R255">
            <v>0.99940828402366866</v>
          </cell>
          <cell r="S255">
            <v>0</v>
          </cell>
          <cell r="T255">
            <v>0</v>
          </cell>
          <cell r="U255">
            <v>1</v>
          </cell>
          <cell r="V255">
            <v>0</v>
          </cell>
        </row>
        <row r="256">
          <cell r="Q256">
            <v>0.3</v>
          </cell>
          <cell r="R256">
            <v>0.99940828402366866</v>
          </cell>
          <cell r="S256">
            <v>0</v>
          </cell>
          <cell r="T256">
            <v>0</v>
          </cell>
          <cell r="U256">
            <v>1</v>
          </cell>
          <cell r="V256">
            <v>0</v>
          </cell>
        </row>
        <row r="257">
          <cell r="Q257">
            <v>0.67428571428571427</v>
          </cell>
          <cell r="R257">
            <v>0.99940828402366866</v>
          </cell>
          <cell r="S257">
            <v>0</v>
          </cell>
          <cell r="T257">
            <v>0</v>
          </cell>
          <cell r="U257">
            <v>0.25</v>
          </cell>
          <cell r="V257">
            <v>0</v>
          </cell>
        </row>
        <row r="258">
          <cell r="Q258">
            <v>0.15428571428571428</v>
          </cell>
          <cell r="R258">
            <v>0.99940828402366866</v>
          </cell>
          <cell r="S258">
            <v>0</v>
          </cell>
          <cell r="T258">
            <v>0</v>
          </cell>
          <cell r="U258">
            <v>0.75</v>
          </cell>
          <cell r="V258">
            <v>0.53996781115879833</v>
          </cell>
        </row>
        <row r="259">
          <cell r="Q259">
            <v>4.5714285714285714E-2</v>
          </cell>
          <cell r="R259">
            <v>0.99940828402366866</v>
          </cell>
          <cell r="S259">
            <v>0</v>
          </cell>
          <cell r="T259">
            <v>1.4488554042306577E-2</v>
          </cell>
          <cell r="U259">
            <v>0.75</v>
          </cell>
          <cell r="V259">
            <v>0.75</v>
          </cell>
        </row>
        <row r="260">
          <cell r="Q260">
            <v>0.29714285714285715</v>
          </cell>
          <cell r="R260">
            <v>0.99940828402366866</v>
          </cell>
          <cell r="S260">
            <v>0</v>
          </cell>
          <cell r="T260">
            <v>0</v>
          </cell>
          <cell r="U260">
            <v>1</v>
          </cell>
          <cell r="V260">
            <v>0</v>
          </cell>
        </row>
        <row r="261">
          <cell r="Q261">
            <v>0.17142857142857143</v>
          </cell>
          <cell r="R261">
            <v>0.99940828402366866</v>
          </cell>
          <cell r="S261">
            <v>0</v>
          </cell>
          <cell r="T261">
            <v>0</v>
          </cell>
          <cell r="U261">
            <v>0.75</v>
          </cell>
          <cell r="V261">
            <v>0.5</v>
          </cell>
        </row>
        <row r="262">
          <cell r="Q262">
            <v>4.5714285714285714E-2</v>
          </cell>
          <cell r="R262">
            <v>0.99940828402366866</v>
          </cell>
          <cell r="S262">
            <v>0</v>
          </cell>
          <cell r="T262">
            <v>0</v>
          </cell>
          <cell r="U262">
            <v>0.75</v>
          </cell>
          <cell r="V262">
            <v>0.75</v>
          </cell>
        </row>
        <row r="263">
          <cell r="Q263">
            <v>0.16857142857142857</v>
          </cell>
          <cell r="R263">
            <v>0.99940828402366866</v>
          </cell>
          <cell r="S263">
            <v>0</v>
          </cell>
          <cell r="T263">
            <v>0</v>
          </cell>
          <cell r="U263">
            <v>0.5</v>
          </cell>
          <cell r="V263">
            <v>0.75</v>
          </cell>
        </row>
        <row r="264">
          <cell r="Q264">
            <v>0.2257142857142857</v>
          </cell>
          <cell r="R264">
            <v>0.99940828402366866</v>
          </cell>
          <cell r="S264">
            <v>1</v>
          </cell>
          <cell r="T264">
            <v>0</v>
          </cell>
          <cell r="U264">
            <v>0.5</v>
          </cell>
          <cell r="V264">
            <v>0.30155908096280087</v>
          </cell>
        </row>
        <row r="265">
          <cell r="Q265">
            <v>0.25142857142857145</v>
          </cell>
          <cell r="R265">
            <v>0.99940828402366866</v>
          </cell>
          <cell r="S265">
            <v>0</v>
          </cell>
          <cell r="T265">
            <v>1</v>
          </cell>
          <cell r="U265">
            <v>0.75</v>
          </cell>
          <cell r="V265">
            <v>0</v>
          </cell>
        </row>
        <row r="266">
          <cell r="Q266">
            <v>0.25142857142857145</v>
          </cell>
          <cell r="R266">
            <v>0.99940828402366866</v>
          </cell>
          <cell r="S266">
            <v>0</v>
          </cell>
          <cell r="T266">
            <v>1</v>
          </cell>
          <cell r="U266">
            <v>0.75</v>
          </cell>
          <cell r="V266">
            <v>0</v>
          </cell>
        </row>
        <row r="267">
          <cell r="Q267">
            <v>4.2857142857142858E-2</v>
          </cell>
          <cell r="R267">
            <v>0.99940828402366866</v>
          </cell>
          <cell r="S267">
            <v>0</v>
          </cell>
          <cell r="T267">
            <v>0</v>
          </cell>
          <cell r="U267">
            <v>0.75</v>
          </cell>
          <cell r="V267">
            <v>0.75</v>
          </cell>
        </row>
        <row r="268">
          <cell r="Q268">
            <v>4.2857142857142858E-2</v>
          </cell>
          <cell r="R268">
            <v>0.99940828402366866</v>
          </cell>
          <cell r="S268">
            <v>0</v>
          </cell>
          <cell r="T268">
            <v>0</v>
          </cell>
          <cell r="U268">
            <v>0.75</v>
          </cell>
          <cell r="V268">
            <v>0.75</v>
          </cell>
        </row>
        <row r="269">
          <cell r="Q269">
            <v>0.16285714285714287</v>
          </cell>
          <cell r="R269">
            <v>0.99940828402366866</v>
          </cell>
          <cell r="S269">
            <v>0</v>
          </cell>
          <cell r="T269">
            <v>0</v>
          </cell>
          <cell r="U269">
            <v>0.5</v>
          </cell>
          <cell r="V269">
            <v>0.75</v>
          </cell>
        </row>
        <row r="270">
          <cell r="Q270">
            <v>0.16285714285714287</v>
          </cell>
          <cell r="R270">
            <v>0.99940828402366866</v>
          </cell>
          <cell r="S270">
            <v>0</v>
          </cell>
          <cell r="T270">
            <v>0</v>
          </cell>
          <cell r="U270">
            <v>0.5</v>
          </cell>
          <cell r="V270">
            <v>0.75</v>
          </cell>
        </row>
        <row r="271">
          <cell r="Q271">
            <v>0.15714285714285714</v>
          </cell>
          <cell r="R271">
            <v>0.99940828402366866</v>
          </cell>
          <cell r="S271">
            <v>0</v>
          </cell>
          <cell r="T271">
            <v>0</v>
          </cell>
          <cell r="U271">
            <v>0.75</v>
          </cell>
          <cell r="V271">
            <v>0.51066727190195194</v>
          </cell>
        </row>
        <row r="272">
          <cell r="Q272">
            <v>3.7142857142857144E-2</v>
          </cell>
          <cell r="R272">
            <v>0.99940828402366866</v>
          </cell>
          <cell r="S272">
            <v>0</v>
          </cell>
          <cell r="T272">
            <v>0</v>
          </cell>
          <cell r="U272">
            <v>0.75</v>
          </cell>
          <cell r="V272">
            <v>0.75</v>
          </cell>
        </row>
        <row r="273">
          <cell r="Q273">
            <v>0.41142857142857142</v>
          </cell>
          <cell r="R273">
            <v>0.99940828402366866</v>
          </cell>
          <cell r="S273">
            <v>0</v>
          </cell>
          <cell r="T273">
            <v>0</v>
          </cell>
          <cell r="U273">
            <v>0.75</v>
          </cell>
          <cell r="V273">
            <v>0</v>
          </cell>
        </row>
        <row r="274">
          <cell r="Q274">
            <v>0.24285714285714285</v>
          </cell>
          <cell r="R274">
            <v>0.99940828402366866</v>
          </cell>
          <cell r="S274">
            <v>0</v>
          </cell>
          <cell r="T274">
            <v>1</v>
          </cell>
          <cell r="U274">
            <v>0.75</v>
          </cell>
          <cell r="V274">
            <v>0</v>
          </cell>
        </row>
        <row r="275">
          <cell r="Q275">
            <v>3.4285714285714287E-2</v>
          </cell>
          <cell r="R275">
            <v>0.99940828402366866</v>
          </cell>
          <cell r="S275">
            <v>0</v>
          </cell>
          <cell r="T275">
            <v>0</v>
          </cell>
          <cell r="U275">
            <v>0.75</v>
          </cell>
          <cell r="V275">
            <v>0.75</v>
          </cell>
        </row>
        <row r="276">
          <cell r="Q276">
            <v>3.4285714285714287E-2</v>
          </cell>
          <cell r="R276">
            <v>0.99940828402366866</v>
          </cell>
          <cell r="S276">
            <v>0</v>
          </cell>
          <cell r="T276">
            <v>0</v>
          </cell>
          <cell r="U276">
            <v>0.75</v>
          </cell>
          <cell r="V276">
            <v>0.75</v>
          </cell>
        </row>
        <row r="277">
          <cell r="Q277">
            <v>0.16285714285714287</v>
          </cell>
          <cell r="R277">
            <v>0.99940828402366866</v>
          </cell>
          <cell r="S277">
            <v>0</v>
          </cell>
          <cell r="T277">
            <v>0</v>
          </cell>
          <cell r="U277">
            <v>0.5</v>
          </cell>
          <cell r="V277">
            <v>0.74184782608695654</v>
          </cell>
        </row>
        <row r="278">
          <cell r="Q278">
            <v>0.49142857142857144</v>
          </cell>
          <cell r="R278">
            <v>0.99940828402366866</v>
          </cell>
          <cell r="S278">
            <v>0</v>
          </cell>
          <cell r="T278">
            <v>1</v>
          </cell>
          <cell r="U278">
            <v>0.25</v>
          </cell>
          <cell r="V278">
            <v>0</v>
          </cell>
        </row>
        <row r="279">
          <cell r="Q279">
            <v>0.28285714285714286</v>
          </cell>
          <cell r="R279">
            <v>0.99940828402366866</v>
          </cell>
          <cell r="S279">
            <v>0</v>
          </cell>
          <cell r="T279">
            <v>0</v>
          </cell>
          <cell r="U279">
            <v>1</v>
          </cell>
          <cell r="V279">
            <v>0</v>
          </cell>
        </row>
        <row r="280">
          <cell r="Q280">
            <v>0.24</v>
          </cell>
          <cell r="R280">
            <v>0.99940828402366866</v>
          </cell>
          <cell r="S280">
            <v>0</v>
          </cell>
          <cell r="T280">
            <v>1</v>
          </cell>
          <cell r="U280">
            <v>0.75</v>
          </cell>
          <cell r="V280">
            <v>0</v>
          </cell>
        </row>
        <row r="281">
          <cell r="Q281">
            <v>3.1428571428571431E-2</v>
          </cell>
          <cell r="R281">
            <v>0.99940828402366866</v>
          </cell>
          <cell r="S281">
            <v>0</v>
          </cell>
          <cell r="T281">
            <v>0</v>
          </cell>
          <cell r="U281">
            <v>0.75</v>
          </cell>
          <cell r="V281">
            <v>0.75</v>
          </cell>
        </row>
        <row r="282">
          <cell r="Q282">
            <v>3.1428571428571431E-2</v>
          </cell>
          <cell r="R282">
            <v>0.99940828402366866</v>
          </cell>
          <cell r="S282">
            <v>0</v>
          </cell>
          <cell r="T282">
            <v>0</v>
          </cell>
          <cell r="U282">
            <v>0.75</v>
          </cell>
          <cell r="V282">
            <v>0.75</v>
          </cell>
        </row>
        <row r="283">
          <cell r="Q283">
            <v>3.1428571428571431E-2</v>
          </cell>
          <cell r="R283">
            <v>0.99940828402366866</v>
          </cell>
          <cell r="S283">
            <v>0</v>
          </cell>
          <cell r="T283">
            <v>0</v>
          </cell>
          <cell r="U283">
            <v>0.75</v>
          </cell>
          <cell r="V283">
            <v>0.75</v>
          </cell>
        </row>
        <row r="284">
          <cell r="Q284">
            <v>3.1428571428571431E-2</v>
          </cell>
          <cell r="R284">
            <v>0.99940828402366866</v>
          </cell>
          <cell r="S284">
            <v>0</v>
          </cell>
          <cell r="T284">
            <v>0</v>
          </cell>
          <cell r="U284">
            <v>0.75</v>
          </cell>
          <cell r="V284">
            <v>0.75</v>
          </cell>
        </row>
        <row r="285">
          <cell r="Q285">
            <v>0.51142857142857145</v>
          </cell>
          <cell r="R285">
            <v>0.99940828402366866</v>
          </cell>
          <cell r="S285">
            <v>0</v>
          </cell>
          <cell r="T285">
            <v>0.86202635914332781</v>
          </cell>
          <cell r="U285">
            <v>0.25</v>
          </cell>
          <cell r="V285">
            <v>0</v>
          </cell>
        </row>
        <row r="286">
          <cell r="Q286">
            <v>0.38857142857142857</v>
          </cell>
          <cell r="R286">
            <v>0.99940828402366866</v>
          </cell>
          <cell r="S286">
            <v>0</v>
          </cell>
          <cell r="T286">
            <v>0</v>
          </cell>
          <cell r="U286">
            <v>0.75</v>
          </cell>
          <cell r="V286">
            <v>3.2271944922547334E-2</v>
          </cell>
        </row>
        <row r="287">
          <cell r="Q287">
            <v>0.15428571428571428</v>
          </cell>
          <cell r="R287">
            <v>0.99940828402366866</v>
          </cell>
          <cell r="S287">
            <v>0</v>
          </cell>
          <cell r="T287">
            <v>0</v>
          </cell>
          <cell r="U287">
            <v>0.5</v>
          </cell>
          <cell r="V287">
            <v>0.75</v>
          </cell>
        </row>
        <row r="288">
          <cell r="Q288">
            <v>0.23714285714285716</v>
          </cell>
          <cell r="R288">
            <v>0.99940828402366866</v>
          </cell>
          <cell r="S288">
            <v>0</v>
          </cell>
          <cell r="T288">
            <v>1</v>
          </cell>
          <cell r="U288">
            <v>0.75</v>
          </cell>
          <cell r="V288">
            <v>0</v>
          </cell>
        </row>
        <row r="289">
          <cell r="Q289">
            <v>2.8571428571428571E-2</v>
          </cell>
          <cell r="R289">
            <v>0.99940828402366866</v>
          </cell>
          <cell r="S289">
            <v>0</v>
          </cell>
          <cell r="T289">
            <v>0</v>
          </cell>
          <cell r="U289">
            <v>0.75</v>
          </cell>
          <cell r="V289">
            <v>0.75</v>
          </cell>
        </row>
        <row r="290">
          <cell r="Q290">
            <v>0.46</v>
          </cell>
          <cell r="R290">
            <v>0.99940828402366866</v>
          </cell>
          <cell r="S290">
            <v>0</v>
          </cell>
          <cell r="T290">
            <v>0</v>
          </cell>
          <cell r="U290">
            <v>0.5</v>
          </cell>
          <cell r="V290">
            <v>0.1315910132966529</v>
          </cell>
        </row>
        <row r="291">
          <cell r="Q291">
            <v>0.04</v>
          </cell>
          <cell r="R291">
            <v>0.99940828402366866</v>
          </cell>
          <cell r="S291">
            <v>0</v>
          </cell>
          <cell r="T291">
            <v>0</v>
          </cell>
          <cell r="U291">
            <v>0.75</v>
          </cell>
          <cell r="V291">
            <v>0.72141223556317891</v>
          </cell>
        </row>
        <row r="292">
          <cell r="Q292">
            <v>0.10857142857142857</v>
          </cell>
          <cell r="R292">
            <v>0.99940828402366866</v>
          </cell>
          <cell r="S292">
            <v>1</v>
          </cell>
          <cell r="T292">
            <v>0</v>
          </cell>
          <cell r="U292">
            <v>1</v>
          </cell>
          <cell r="V292">
            <v>0</v>
          </cell>
        </row>
        <row r="293">
          <cell r="Q293">
            <v>0.25714285714285712</v>
          </cell>
          <cell r="R293">
            <v>0.99940828402366866</v>
          </cell>
          <cell r="S293">
            <v>1</v>
          </cell>
          <cell r="T293">
            <v>0.60658202472435685</v>
          </cell>
          <cell r="U293">
            <v>0.5</v>
          </cell>
          <cell r="V293">
            <v>0</v>
          </cell>
        </row>
        <row r="294">
          <cell r="Q294">
            <v>0.34285714285714286</v>
          </cell>
          <cell r="R294">
            <v>0.99940828402366866</v>
          </cell>
          <cell r="S294">
            <v>1</v>
          </cell>
          <cell r="T294">
            <v>0</v>
          </cell>
          <cell r="U294">
            <v>0.25</v>
          </cell>
          <cell r="V294">
            <v>0.2801911381407472</v>
          </cell>
        </row>
        <row r="295">
          <cell r="Q295">
            <v>0.29142857142857143</v>
          </cell>
          <cell r="R295">
            <v>0.99940828402366866</v>
          </cell>
          <cell r="S295">
            <v>1</v>
          </cell>
          <cell r="T295">
            <v>0.12424488323866198</v>
          </cell>
          <cell r="U295">
            <v>0.5</v>
          </cell>
          <cell r="V295">
            <v>9.1109908935172665E-2</v>
          </cell>
        </row>
        <row r="296">
          <cell r="Q296">
            <v>0.10285714285714286</v>
          </cell>
          <cell r="R296">
            <v>0.99940828402366866</v>
          </cell>
          <cell r="S296">
            <v>0</v>
          </cell>
          <cell r="T296">
            <v>0</v>
          </cell>
          <cell r="U296">
            <v>0.5</v>
          </cell>
          <cell r="V296">
            <v>0.84113712374581939</v>
          </cell>
        </row>
        <row r="297">
          <cell r="Q297">
            <v>0.22285714285714286</v>
          </cell>
          <cell r="R297">
            <v>0.99940828402366866</v>
          </cell>
          <cell r="S297">
            <v>1</v>
          </cell>
          <cell r="T297">
            <v>0</v>
          </cell>
          <cell r="U297">
            <v>0.75</v>
          </cell>
          <cell r="V297">
            <v>1.3270722743977134E-2</v>
          </cell>
        </row>
        <row r="298">
          <cell r="Q298">
            <v>0.22857142857142856</v>
          </cell>
          <cell r="R298">
            <v>0.99940828402366866</v>
          </cell>
          <cell r="S298">
            <v>0</v>
          </cell>
          <cell r="T298">
            <v>1</v>
          </cell>
          <cell r="U298">
            <v>0.75</v>
          </cell>
          <cell r="V298">
            <v>0</v>
          </cell>
        </row>
        <row r="299">
          <cell r="Q299">
            <v>0.02</v>
          </cell>
          <cell r="R299">
            <v>0.99940828402366866</v>
          </cell>
          <cell r="S299">
            <v>0</v>
          </cell>
          <cell r="T299">
            <v>0</v>
          </cell>
          <cell r="U299">
            <v>0.75</v>
          </cell>
          <cell r="V299">
            <v>0.75</v>
          </cell>
        </row>
        <row r="300">
          <cell r="Q300">
            <v>0.60285714285714287</v>
          </cell>
          <cell r="R300">
            <v>0.99940828402366866</v>
          </cell>
          <cell r="S300">
            <v>0</v>
          </cell>
          <cell r="T300">
            <v>1</v>
          </cell>
          <cell r="U300">
            <v>0</v>
          </cell>
          <cell r="V300">
            <v>0</v>
          </cell>
        </row>
        <row r="301">
          <cell r="Q301">
            <v>0.10285714285714286</v>
          </cell>
          <cell r="R301">
            <v>0.99940828402366866</v>
          </cell>
          <cell r="S301">
            <v>0</v>
          </cell>
          <cell r="T301">
            <v>1</v>
          </cell>
          <cell r="U301">
            <v>0.5</v>
          </cell>
          <cell r="V301">
            <v>0.5</v>
          </cell>
        </row>
        <row r="302">
          <cell r="Q302">
            <v>0.10285714285714286</v>
          </cell>
          <cell r="R302">
            <v>0.99940828402366866</v>
          </cell>
          <cell r="S302">
            <v>0</v>
          </cell>
          <cell r="T302">
            <v>1</v>
          </cell>
          <cell r="U302">
            <v>0.5</v>
          </cell>
          <cell r="V302">
            <v>0.5</v>
          </cell>
        </row>
        <row r="303">
          <cell r="Q303">
            <v>0.10285714285714286</v>
          </cell>
          <cell r="R303">
            <v>0.99940828402366866</v>
          </cell>
          <cell r="S303">
            <v>0</v>
          </cell>
          <cell r="T303">
            <v>1</v>
          </cell>
          <cell r="U303">
            <v>0.5</v>
          </cell>
          <cell r="V303">
            <v>0.5</v>
          </cell>
        </row>
        <row r="304">
          <cell r="Q304">
            <v>0.42</v>
          </cell>
          <cell r="R304">
            <v>0.99940828402366866</v>
          </cell>
          <cell r="S304">
            <v>0</v>
          </cell>
          <cell r="T304">
            <v>0</v>
          </cell>
          <cell r="U304">
            <v>0.5</v>
          </cell>
          <cell r="V304">
            <v>0.1977818853974122</v>
          </cell>
        </row>
        <row r="305">
          <cell r="Q305">
            <v>0.2257142857142857</v>
          </cell>
          <cell r="R305">
            <v>0.99940828402366866</v>
          </cell>
          <cell r="S305">
            <v>1</v>
          </cell>
          <cell r="T305">
            <v>0</v>
          </cell>
          <cell r="U305">
            <v>0.75</v>
          </cell>
          <cell r="V305">
            <v>0</v>
          </cell>
        </row>
        <row r="306">
          <cell r="Q306">
            <v>0.26571428571428574</v>
          </cell>
          <cell r="R306">
            <v>0.99940828402366866</v>
          </cell>
          <cell r="S306">
            <v>0</v>
          </cell>
          <cell r="T306">
            <v>0</v>
          </cell>
          <cell r="U306">
            <v>1</v>
          </cell>
          <cell r="V306">
            <v>0</v>
          </cell>
        </row>
        <row r="307">
          <cell r="Q307">
            <v>0.26571428571428574</v>
          </cell>
          <cell r="R307">
            <v>0.99940828402366866</v>
          </cell>
          <cell r="S307">
            <v>0</v>
          </cell>
          <cell r="T307">
            <v>0</v>
          </cell>
          <cell r="U307">
            <v>1</v>
          </cell>
          <cell r="V307">
            <v>0</v>
          </cell>
        </row>
        <row r="308">
          <cell r="Q308">
            <v>0.26571428571428574</v>
          </cell>
          <cell r="R308">
            <v>0.99940828402366866</v>
          </cell>
          <cell r="S308">
            <v>0</v>
          </cell>
          <cell r="T308">
            <v>0</v>
          </cell>
          <cell r="U308">
            <v>1</v>
          </cell>
          <cell r="V308">
            <v>0</v>
          </cell>
        </row>
        <row r="309">
          <cell r="Q309">
            <v>0.26571428571428574</v>
          </cell>
          <cell r="R309">
            <v>0.99940828402366866</v>
          </cell>
          <cell r="S309">
            <v>0</v>
          </cell>
          <cell r="T309">
            <v>0</v>
          </cell>
          <cell r="U309">
            <v>1</v>
          </cell>
          <cell r="V309">
            <v>0</v>
          </cell>
        </row>
        <row r="310">
          <cell r="Q310">
            <v>0.46285714285714286</v>
          </cell>
          <cell r="R310">
            <v>0.99940828402366866</v>
          </cell>
          <cell r="S310">
            <v>0</v>
          </cell>
          <cell r="T310">
            <v>0</v>
          </cell>
          <cell r="U310">
            <v>0.5</v>
          </cell>
          <cell r="V310">
            <v>0.10513643659711075</v>
          </cell>
        </row>
        <row r="311">
          <cell r="Q311">
            <v>0.14000000000000001</v>
          </cell>
          <cell r="R311">
            <v>0.99940828402366866</v>
          </cell>
          <cell r="S311">
            <v>0</v>
          </cell>
          <cell r="T311">
            <v>0</v>
          </cell>
          <cell r="U311">
            <v>0.5</v>
          </cell>
          <cell r="V311">
            <v>0.75</v>
          </cell>
        </row>
        <row r="312">
          <cell r="Q312">
            <v>9.7142857142857142E-2</v>
          </cell>
          <cell r="R312">
            <v>0.99940828402366866</v>
          </cell>
          <cell r="S312">
            <v>0</v>
          </cell>
          <cell r="T312">
            <v>1</v>
          </cell>
          <cell r="U312">
            <v>1</v>
          </cell>
          <cell r="V312">
            <v>0</v>
          </cell>
        </row>
        <row r="313">
          <cell r="Q313">
            <v>9.7142857142857142E-2</v>
          </cell>
          <cell r="R313">
            <v>0.99940828402366866</v>
          </cell>
          <cell r="S313">
            <v>0</v>
          </cell>
          <cell r="T313">
            <v>1</v>
          </cell>
          <cell r="U313">
            <v>1</v>
          </cell>
          <cell r="V313">
            <v>0</v>
          </cell>
        </row>
        <row r="314">
          <cell r="Q314">
            <v>9.7142857142857142E-2</v>
          </cell>
          <cell r="R314">
            <v>0.99940828402366866</v>
          </cell>
          <cell r="S314">
            <v>0</v>
          </cell>
          <cell r="T314">
            <v>1</v>
          </cell>
          <cell r="U314">
            <v>1</v>
          </cell>
          <cell r="V314">
            <v>0</v>
          </cell>
        </row>
        <row r="315">
          <cell r="Q315">
            <v>9.7142857142857142E-2</v>
          </cell>
          <cell r="R315">
            <v>0.99940828402366866</v>
          </cell>
          <cell r="S315">
            <v>0</v>
          </cell>
          <cell r="T315">
            <v>1</v>
          </cell>
          <cell r="U315">
            <v>1</v>
          </cell>
          <cell r="V315">
            <v>0</v>
          </cell>
        </row>
        <row r="316">
          <cell r="Q316">
            <v>9.7142857142857142E-2</v>
          </cell>
          <cell r="R316">
            <v>0.99940828402366866</v>
          </cell>
          <cell r="S316">
            <v>0</v>
          </cell>
          <cell r="T316">
            <v>1</v>
          </cell>
          <cell r="U316">
            <v>1</v>
          </cell>
          <cell r="V316">
            <v>0</v>
          </cell>
        </row>
        <row r="317">
          <cell r="Q317">
            <v>9.7142857142857142E-2</v>
          </cell>
          <cell r="R317">
            <v>0.99940828402366866</v>
          </cell>
          <cell r="S317">
            <v>0</v>
          </cell>
          <cell r="T317">
            <v>1</v>
          </cell>
          <cell r="U317">
            <v>1</v>
          </cell>
          <cell r="V317">
            <v>0</v>
          </cell>
        </row>
        <row r="318">
          <cell r="Q318">
            <v>9.7142857142857142E-2</v>
          </cell>
          <cell r="R318">
            <v>0.99940828402366866</v>
          </cell>
          <cell r="S318">
            <v>0</v>
          </cell>
          <cell r="T318">
            <v>1</v>
          </cell>
          <cell r="U318">
            <v>1</v>
          </cell>
          <cell r="V318">
            <v>0</v>
          </cell>
        </row>
        <row r="319">
          <cell r="Q319">
            <v>9.7142857142857142E-2</v>
          </cell>
          <cell r="R319">
            <v>0.99940828402366866</v>
          </cell>
          <cell r="S319">
            <v>0</v>
          </cell>
          <cell r="T319">
            <v>1</v>
          </cell>
          <cell r="U319">
            <v>1</v>
          </cell>
          <cell r="V319">
            <v>0</v>
          </cell>
        </row>
        <row r="320">
          <cell r="Q320">
            <v>0.38857142857142857</v>
          </cell>
          <cell r="R320">
            <v>0.99940828402366866</v>
          </cell>
          <cell r="S320">
            <v>0</v>
          </cell>
          <cell r="T320">
            <v>0</v>
          </cell>
          <cell r="U320">
            <v>0.75</v>
          </cell>
          <cell r="V320">
            <v>0</v>
          </cell>
        </row>
        <row r="321">
          <cell r="Q321">
            <v>0.38857142857142857</v>
          </cell>
          <cell r="R321">
            <v>0.99940828402366866</v>
          </cell>
          <cell r="S321">
            <v>0</v>
          </cell>
          <cell r="T321">
            <v>0</v>
          </cell>
          <cell r="U321">
            <v>0.75</v>
          </cell>
          <cell r="V321">
            <v>0</v>
          </cell>
        </row>
        <row r="322">
          <cell r="Q322">
            <v>0.38857142857142857</v>
          </cell>
          <cell r="R322">
            <v>0.99940828402366866</v>
          </cell>
          <cell r="S322">
            <v>0</v>
          </cell>
          <cell r="T322">
            <v>0</v>
          </cell>
          <cell r="U322">
            <v>0</v>
          </cell>
          <cell r="V322">
            <v>0.75</v>
          </cell>
        </row>
        <row r="323">
          <cell r="Q323">
            <v>3.7142857142857144E-2</v>
          </cell>
          <cell r="R323">
            <v>0.99940828402366866</v>
          </cell>
          <cell r="S323">
            <v>0</v>
          </cell>
          <cell r="T323">
            <v>0</v>
          </cell>
          <cell r="U323">
            <v>0.75</v>
          </cell>
          <cell r="V323">
            <v>0.69702042182792101</v>
          </cell>
        </row>
        <row r="324">
          <cell r="Q324">
            <v>0.14000000000000001</v>
          </cell>
          <cell r="R324">
            <v>0.99940828402366866</v>
          </cell>
          <cell r="S324">
            <v>1</v>
          </cell>
          <cell r="T324">
            <v>0.21416596814752725</v>
          </cell>
          <cell r="U324">
            <v>0.5</v>
          </cell>
          <cell r="V324">
            <v>0.33633696563285836</v>
          </cell>
        </row>
        <row r="325">
          <cell r="Q325">
            <v>0.10285714285714286</v>
          </cell>
          <cell r="R325">
            <v>0.99940828402366866</v>
          </cell>
          <cell r="S325">
            <v>0</v>
          </cell>
          <cell r="T325">
            <v>0.1928684349200773</v>
          </cell>
          <cell r="U325">
            <v>0.75</v>
          </cell>
          <cell r="V325">
            <v>0.5</v>
          </cell>
        </row>
        <row r="326">
          <cell r="Q326">
            <v>8.5714285714285719E-3</v>
          </cell>
          <cell r="R326">
            <v>0.99940828402366866</v>
          </cell>
          <cell r="S326">
            <v>0</v>
          </cell>
          <cell r="T326">
            <v>0</v>
          </cell>
          <cell r="U326">
            <v>0.75</v>
          </cell>
          <cell r="V326">
            <v>0.75</v>
          </cell>
        </row>
        <row r="327">
          <cell r="Q327">
            <v>0.34</v>
          </cell>
          <cell r="R327">
            <v>0.99940828402366866</v>
          </cell>
          <cell r="S327">
            <v>0</v>
          </cell>
          <cell r="T327">
            <v>1</v>
          </cell>
          <cell r="U327">
            <v>0.5</v>
          </cell>
          <cell r="V327">
            <v>0</v>
          </cell>
        </row>
        <row r="328">
          <cell r="Q328">
            <v>8.8571428571428565E-2</v>
          </cell>
          <cell r="R328">
            <v>0.99940828402366866</v>
          </cell>
          <cell r="S328">
            <v>1</v>
          </cell>
          <cell r="T328">
            <v>0</v>
          </cell>
          <cell r="U328">
            <v>0.5</v>
          </cell>
          <cell r="V328">
            <v>0.49725274725274726</v>
          </cell>
        </row>
        <row r="329">
          <cell r="Q329">
            <v>0.20857142857142857</v>
          </cell>
          <cell r="R329">
            <v>0.99940828402366866</v>
          </cell>
          <cell r="S329">
            <v>1</v>
          </cell>
          <cell r="T329">
            <v>0</v>
          </cell>
          <cell r="U329">
            <v>0.75</v>
          </cell>
          <cell r="V329">
            <v>0</v>
          </cell>
        </row>
        <row r="330">
          <cell r="Q330">
            <v>0.20857142857142857</v>
          </cell>
          <cell r="R330">
            <v>0.99940828402366866</v>
          </cell>
          <cell r="S330">
            <v>0</v>
          </cell>
          <cell r="T330">
            <v>1</v>
          </cell>
          <cell r="U330">
            <v>0.75</v>
          </cell>
          <cell r="V330">
            <v>0</v>
          </cell>
        </row>
        <row r="331">
          <cell r="Q331">
            <v>0.20571428571428571</v>
          </cell>
          <cell r="R331">
            <v>0.99940828402366866</v>
          </cell>
          <cell r="S331">
            <v>0</v>
          </cell>
          <cell r="T331">
            <v>1</v>
          </cell>
          <cell r="U331">
            <v>0.75</v>
          </cell>
          <cell r="V331">
            <v>0</v>
          </cell>
        </row>
        <row r="332">
          <cell r="Q332">
            <v>0.23428571428571429</v>
          </cell>
          <cell r="R332">
            <v>0.99940828402366866</v>
          </cell>
          <cell r="S332">
            <v>0</v>
          </cell>
          <cell r="T332">
            <v>0.81928796755295175</v>
          </cell>
          <cell r="U332">
            <v>0.75</v>
          </cell>
          <cell r="V332">
            <v>0</v>
          </cell>
        </row>
        <row r="333">
          <cell r="Q333">
            <v>0.12</v>
          </cell>
          <cell r="R333">
            <v>0.99940828402366866</v>
          </cell>
          <cell r="S333">
            <v>0</v>
          </cell>
          <cell r="T333">
            <v>0</v>
          </cell>
          <cell r="U333">
            <v>0.5</v>
          </cell>
          <cell r="V333">
            <v>0.75</v>
          </cell>
        </row>
        <row r="334">
          <cell r="Q334">
            <v>0.37714285714285717</v>
          </cell>
          <cell r="R334">
            <v>0.99940828402366866</v>
          </cell>
          <cell r="S334">
            <v>0</v>
          </cell>
          <cell r="T334">
            <v>0.70521861777150918</v>
          </cell>
          <cell r="U334">
            <v>0.5</v>
          </cell>
          <cell r="V334">
            <v>0</v>
          </cell>
        </row>
        <row r="335">
          <cell r="Q335">
            <v>0.50857142857142856</v>
          </cell>
          <cell r="R335">
            <v>0.99940828402366866</v>
          </cell>
          <cell r="S335">
            <v>0</v>
          </cell>
          <cell r="T335">
            <v>0</v>
          </cell>
          <cell r="U335">
            <v>0.25</v>
          </cell>
          <cell r="V335">
            <v>0.21625163826998689</v>
          </cell>
        </row>
        <row r="336">
          <cell r="Q336">
            <v>0.28285714285714286</v>
          </cell>
          <cell r="R336">
            <v>0.99940828402366866</v>
          </cell>
          <cell r="S336">
            <v>1</v>
          </cell>
          <cell r="T336">
            <v>1</v>
          </cell>
          <cell r="U336">
            <v>0.25</v>
          </cell>
          <cell r="V336">
            <v>0</v>
          </cell>
        </row>
        <row r="337">
          <cell r="Q337">
            <v>0.28285714285714286</v>
          </cell>
          <cell r="R337">
            <v>0.99940828402366866</v>
          </cell>
          <cell r="S337">
            <v>1</v>
          </cell>
          <cell r="T337">
            <v>1</v>
          </cell>
          <cell r="U337">
            <v>0.25</v>
          </cell>
          <cell r="V337">
            <v>0</v>
          </cell>
        </row>
        <row r="338">
          <cell r="Q338">
            <v>0.24</v>
          </cell>
          <cell r="R338">
            <v>0.99940828402366866</v>
          </cell>
          <cell r="S338">
            <v>0</v>
          </cell>
          <cell r="T338">
            <v>0</v>
          </cell>
          <cell r="U338">
            <v>1</v>
          </cell>
          <cell r="V338">
            <v>0</v>
          </cell>
        </row>
        <row r="339">
          <cell r="Q339">
            <v>0.19714285714285715</v>
          </cell>
          <cell r="R339">
            <v>0.99940828402366866</v>
          </cell>
          <cell r="S339">
            <v>0</v>
          </cell>
          <cell r="T339">
            <v>1</v>
          </cell>
          <cell r="U339">
            <v>0.75</v>
          </cell>
          <cell r="V339">
            <v>0</v>
          </cell>
        </row>
        <row r="340">
          <cell r="Q340">
            <v>0.24285714285714285</v>
          </cell>
          <cell r="R340">
            <v>0.99940828402366866</v>
          </cell>
          <cell r="S340">
            <v>1</v>
          </cell>
          <cell r="T340">
            <v>0.47019321394910463</v>
          </cell>
          <cell r="U340">
            <v>0.5</v>
          </cell>
          <cell r="V340">
            <v>0</v>
          </cell>
        </row>
        <row r="341">
          <cell r="Q341">
            <v>0.36285714285714288</v>
          </cell>
          <cell r="R341">
            <v>0.99940828402366866</v>
          </cell>
          <cell r="S341">
            <v>0</v>
          </cell>
          <cell r="T341">
            <v>0</v>
          </cell>
          <cell r="U341">
            <v>0.75</v>
          </cell>
          <cell r="V341">
            <v>0</v>
          </cell>
        </row>
        <row r="342">
          <cell r="Q342">
            <v>0.36285714285714288</v>
          </cell>
          <cell r="R342">
            <v>0.99940828402366866</v>
          </cell>
          <cell r="S342">
            <v>0</v>
          </cell>
          <cell r="T342">
            <v>0</v>
          </cell>
          <cell r="U342">
            <v>0.75</v>
          </cell>
          <cell r="V342">
            <v>0</v>
          </cell>
        </row>
        <row r="343">
          <cell r="Q343">
            <v>0.36285714285714288</v>
          </cell>
          <cell r="R343">
            <v>0.99940828402366866</v>
          </cell>
          <cell r="S343">
            <v>0</v>
          </cell>
          <cell r="T343">
            <v>0</v>
          </cell>
          <cell r="U343">
            <v>0.75</v>
          </cell>
          <cell r="V343">
            <v>0</v>
          </cell>
        </row>
        <row r="344">
          <cell r="Q344">
            <v>0.20571428571428571</v>
          </cell>
          <cell r="R344">
            <v>0.99940828402366866</v>
          </cell>
          <cell r="S344">
            <v>0</v>
          </cell>
          <cell r="T344">
            <v>0.94009216589861755</v>
          </cell>
          <cell r="U344">
            <v>0.75</v>
          </cell>
          <cell r="V344">
            <v>0</v>
          </cell>
        </row>
        <row r="345">
          <cell r="Q345">
            <v>0.18857142857142858</v>
          </cell>
          <cell r="R345">
            <v>0.99940828402366866</v>
          </cell>
          <cell r="S345">
            <v>1</v>
          </cell>
          <cell r="T345">
            <v>1.7896620696915465E-2</v>
          </cell>
          <cell r="U345">
            <v>0.75</v>
          </cell>
          <cell r="V345">
            <v>0</v>
          </cell>
        </row>
        <row r="346">
          <cell r="Q346">
            <v>0.48285714285714287</v>
          </cell>
          <cell r="R346">
            <v>0.99940828402366866</v>
          </cell>
          <cell r="S346">
            <v>0</v>
          </cell>
          <cell r="T346">
            <v>0</v>
          </cell>
          <cell r="U346">
            <v>0.5</v>
          </cell>
          <cell r="V346">
            <v>0</v>
          </cell>
        </row>
        <row r="347">
          <cell r="Q347">
            <v>0.29428571428571426</v>
          </cell>
          <cell r="R347">
            <v>0.99940828402366866</v>
          </cell>
          <cell r="S347">
            <v>0</v>
          </cell>
          <cell r="T347">
            <v>0.38113795791114574</v>
          </cell>
          <cell r="U347">
            <v>0.75</v>
          </cell>
          <cell r="V347">
            <v>0</v>
          </cell>
        </row>
        <row r="348">
          <cell r="Q348">
            <v>0.18</v>
          </cell>
          <cell r="R348">
            <v>0.99940828402366866</v>
          </cell>
          <cell r="S348">
            <v>0</v>
          </cell>
          <cell r="T348">
            <v>0</v>
          </cell>
          <cell r="U348">
            <v>1</v>
          </cell>
          <cell r="V348">
            <v>0.10466507177033493</v>
          </cell>
        </row>
        <row r="349">
          <cell r="Q349">
            <v>0.15142857142857144</v>
          </cell>
          <cell r="R349">
            <v>0.99940828402366866</v>
          </cell>
          <cell r="S349">
            <v>0</v>
          </cell>
          <cell r="T349">
            <v>0</v>
          </cell>
          <cell r="U349">
            <v>0.75</v>
          </cell>
          <cell r="V349">
            <v>0.41176129779837778</v>
          </cell>
        </row>
        <row r="350">
          <cell r="Q350">
            <v>0.10571428571428572</v>
          </cell>
          <cell r="R350">
            <v>0.99940828402366866</v>
          </cell>
          <cell r="S350">
            <v>0</v>
          </cell>
          <cell r="T350">
            <v>0</v>
          </cell>
          <cell r="U350">
            <v>0.5</v>
          </cell>
          <cell r="V350">
            <v>0.75</v>
          </cell>
        </row>
        <row r="351">
          <cell r="Q351">
            <v>0.22857142857142856</v>
          </cell>
          <cell r="R351">
            <v>0.99940828402366866</v>
          </cell>
          <cell r="S351">
            <v>0</v>
          </cell>
          <cell r="T351">
            <v>0</v>
          </cell>
          <cell r="U351">
            <v>1</v>
          </cell>
          <cell r="V351">
            <v>0</v>
          </cell>
        </row>
        <row r="352">
          <cell r="Q352">
            <v>0.18571428571428572</v>
          </cell>
          <cell r="R352">
            <v>0.99940828402366866</v>
          </cell>
          <cell r="S352">
            <v>0</v>
          </cell>
          <cell r="T352">
            <v>1</v>
          </cell>
          <cell r="U352">
            <v>0.75</v>
          </cell>
          <cell r="V352">
            <v>0</v>
          </cell>
        </row>
        <row r="353">
          <cell r="Q353">
            <v>0.18571428571428572</v>
          </cell>
          <cell r="R353">
            <v>0.99940828402366866</v>
          </cell>
          <cell r="S353">
            <v>0</v>
          </cell>
          <cell r="T353">
            <v>1</v>
          </cell>
          <cell r="U353">
            <v>0.75</v>
          </cell>
          <cell r="V353">
            <v>0</v>
          </cell>
        </row>
        <row r="354">
          <cell r="Q354">
            <v>0.18571428571428572</v>
          </cell>
          <cell r="R354">
            <v>0.99940828402366866</v>
          </cell>
          <cell r="S354">
            <v>0</v>
          </cell>
          <cell r="T354">
            <v>1</v>
          </cell>
          <cell r="U354">
            <v>0.75</v>
          </cell>
          <cell r="V354">
            <v>0</v>
          </cell>
        </row>
        <row r="355">
          <cell r="Q355">
            <v>0.18571428571428572</v>
          </cell>
          <cell r="R355">
            <v>0.99940828402366866</v>
          </cell>
          <cell r="S355">
            <v>0</v>
          </cell>
          <cell r="T355">
            <v>1</v>
          </cell>
          <cell r="U355">
            <v>0.75</v>
          </cell>
          <cell r="V355">
            <v>0</v>
          </cell>
        </row>
        <row r="356">
          <cell r="Q356">
            <v>0.06</v>
          </cell>
          <cell r="R356">
            <v>0.99940828402366866</v>
          </cell>
          <cell r="S356">
            <v>1</v>
          </cell>
          <cell r="T356">
            <v>0</v>
          </cell>
          <cell r="U356">
            <v>1</v>
          </cell>
          <cell r="V356">
            <v>0</v>
          </cell>
        </row>
        <row r="357">
          <cell r="Q357">
            <v>0.13714285714285715</v>
          </cell>
          <cell r="R357">
            <v>0.99940828402366866</v>
          </cell>
          <cell r="S357">
            <v>0</v>
          </cell>
          <cell r="T357">
            <v>1</v>
          </cell>
          <cell r="U357">
            <v>0.75</v>
          </cell>
          <cell r="V357">
            <v>9.5588235294117641E-2</v>
          </cell>
        </row>
        <row r="358">
          <cell r="Q358">
            <v>0.18285714285714286</v>
          </cell>
          <cell r="R358">
            <v>0.99940828402366866</v>
          </cell>
          <cell r="S358">
            <v>0</v>
          </cell>
          <cell r="T358">
            <v>1</v>
          </cell>
          <cell r="U358">
            <v>0.75</v>
          </cell>
          <cell r="V358">
            <v>0</v>
          </cell>
        </row>
        <row r="359">
          <cell r="Q359">
            <v>0.18285714285714286</v>
          </cell>
          <cell r="R359">
            <v>0.99940828402366866</v>
          </cell>
          <cell r="S359">
            <v>0</v>
          </cell>
          <cell r="T359">
            <v>1</v>
          </cell>
          <cell r="U359">
            <v>0.75</v>
          </cell>
          <cell r="V359">
            <v>0</v>
          </cell>
        </row>
        <row r="360">
          <cell r="Q360">
            <v>0.34857142857142859</v>
          </cell>
          <cell r="R360">
            <v>0.99940828402366866</v>
          </cell>
          <cell r="S360">
            <v>0</v>
          </cell>
          <cell r="T360">
            <v>0</v>
          </cell>
          <cell r="U360">
            <v>0.75</v>
          </cell>
          <cell r="V360">
            <v>0</v>
          </cell>
        </row>
        <row r="361">
          <cell r="Q361">
            <v>0.14000000000000001</v>
          </cell>
          <cell r="R361">
            <v>0.99940828402366866</v>
          </cell>
          <cell r="S361">
            <v>1</v>
          </cell>
          <cell r="T361">
            <v>1</v>
          </cell>
          <cell r="U361">
            <v>0.5</v>
          </cell>
          <cell r="V361">
            <v>0</v>
          </cell>
        </row>
        <row r="362">
          <cell r="Q362">
            <v>0.23428571428571429</v>
          </cell>
          <cell r="R362">
            <v>0.99940828402366866</v>
          </cell>
          <cell r="S362">
            <v>0</v>
          </cell>
          <cell r="T362">
            <v>0</v>
          </cell>
          <cell r="U362">
            <v>0.75</v>
          </cell>
          <cell r="V362">
            <v>0.22749612002069322</v>
          </cell>
        </row>
        <row r="363">
          <cell r="Q363">
            <v>0.18</v>
          </cell>
          <cell r="R363">
            <v>0.99940828402366866</v>
          </cell>
          <cell r="S363">
            <v>0</v>
          </cell>
          <cell r="T363">
            <v>1</v>
          </cell>
          <cell r="U363">
            <v>0.75</v>
          </cell>
          <cell r="V363">
            <v>0</v>
          </cell>
        </row>
        <row r="364">
          <cell r="Q364">
            <v>0.18</v>
          </cell>
          <cell r="R364">
            <v>0.99940828402366866</v>
          </cell>
          <cell r="S364">
            <v>0</v>
          </cell>
          <cell r="T364">
            <v>1</v>
          </cell>
          <cell r="U364">
            <v>0.75</v>
          </cell>
          <cell r="V364">
            <v>0</v>
          </cell>
        </row>
        <row r="365">
          <cell r="Q365">
            <v>0.18</v>
          </cell>
          <cell r="R365">
            <v>0.99940828402366866</v>
          </cell>
          <cell r="S365">
            <v>0</v>
          </cell>
          <cell r="T365">
            <v>1</v>
          </cell>
          <cell r="U365">
            <v>0.75</v>
          </cell>
          <cell r="V365">
            <v>0</v>
          </cell>
        </row>
        <row r="366">
          <cell r="Q366">
            <v>3.7142857142857144E-2</v>
          </cell>
          <cell r="R366">
            <v>0.99940828402366866</v>
          </cell>
          <cell r="S366">
            <v>0</v>
          </cell>
          <cell r="T366">
            <v>0</v>
          </cell>
          <cell r="U366">
            <v>0.75</v>
          </cell>
          <cell r="V366">
            <v>0.61791648913506603</v>
          </cell>
        </row>
        <row r="367">
          <cell r="Q367">
            <v>8.5714285714285719E-3</v>
          </cell>
          <cell r="R367">
            <v>0.99940828402366866</v>
          </cell>
          <cell r="S367">
            <v>0</v>
          </cell>
          <cell r="T367">
            <v>1.7839766461239054E-2</v>
          </cell>
          <cell r="U367">
            <v>0.75</v>
          </cell>
          <cell r="V367">
            <v>0.66891015244891339</v>
          </cell>
        </row>
        <row r="368">
          <cell r="Q368">
            <v>5.1428571428571428E-2</v>
          </cell>
          <cell r="R368">
            <v>0.99940828402366866</v>
          </cell>
          <cell r="S368">
            <v>1</v>
          </cell>
          <cell r="T368">
            <v>0</v>
          </cell>
          <cell r="U368">
            <v>1</v>
          </cell>
          <cell r="V368">
            <v>4.2908762420957539E-3</v>
          </cell>
        </row>
        <row r="369">
          <cell r="Q369">
            <v>0.42857142857142855</v>
          </cell>
          <cell r="R369">
            <v>0.99940828402366866</v>
          </cell>
          <cell r="S369">
            <v>0</v>
          </cell>
          <cell r="T369">
            <v>1</v>
          </cell>
          <cell r="U369">
            <v>0.25</v>
          </cell>
          <cell r="V369">
            <v>0</v>
          </cell>
        </row>
        <row r="370">
          <cell r="Q370">
            <v>0.17714285714285713</v>
          </cell>
          <cell r="R370">
            <v>0.99940828402366866</v>
          </cell>
          <cell r="S370">
            <v>0</v>
          </cell>
          <cell r="T370">
            <v>1</v>
          </cell>
          <cell r="U370">
            <v>0.75</v>
          </cell>
          <cell r="V370">
            <v>0</v>
          </cell>
        </row>
        <row r="371">
          <cell r="Q371">
            <v>9.4285714285714292E-2</v>
          </cell>
          <cell r="R371">
            <v>0.99940828402366866</v>
          </cell>
          <cell r="S371">
            <v>0</v>
          </cell>
          <cell r="T371">
            <v>3.9640900081613622E-3</v>
          </cell>
          <cell r="U371">
            <v>0.5</v>
          </cell>
          <cell r="V371">
            <v>0.74571528506470797</v>
          </cell>
        </row>
        <row r="372">
          <cell r="Q372">
            <v>0.42571428571428571</v>
          </cell>
          <cell r="R372">
            <v>0.99940828402366866</v>
          </cell>
          <cell r="S372">
            <v>0</v>
          </cell>
          <cell r="T372">
            <v>1</v>
          </cell>
          <cell r="U372">
            <v>0.25</v>
          </cell>
          <cell r="V372">
            <v>0</v>
          </cell>
        </row>
        <row r="373">
          <cell r="Q373">
            <v>0.42285714285714288</v>
          </cell>
          <cell r="R373">
            <v>0.99940828402366866</v>
          </cell>
          <cell r="S373">
            <v>1</v>
          </cell>
          <cell r="T373">
            <v>2.3073373327180433E-4</v>
          </cell>
          <cell r="U373">
            <v>0.25</v>
          </cell>
          <cell r="V373">
            <v>0</v>
          </cell>
        </row>
        <row r="374">
          <cell r="Q374">
            <v>0.42285714285714288</v>
          </cell>
          <cell r="R374">
            <v>0.99940828402366866</v>
          </cell>
          <cell r="S374">
            <v>0</v>
          </cell>
          <cell r="T374">
            <v>0.98913043478260865</v>
          </cell>
          <cell r="U374">
            <v>0.25</v>
          </cell>
          <cell r="V374">
            <v>0</v>
          </cell>
        </row>
        <row r="375">
          <cell r="Q375">
            <v>0.22285714285714286</v>
          </cell>
          <cell r="R375">
            <v>0.99940828402366866</v>
          </cell>
          <cell r="S375">
            <v>0</v>
          </cell>
          <cell r="T375">
            <v>0.68443804034582134</v>
          </cell>
          <cell r="U375">
            <v>0.75</v>
          </cell>
          <cell r="V375">
            <v>0</v>
          </cell>
        </row>
        <row r="376">
          <cell r="Q376">
            <v>0.12571428571428572</v>
          </cell>
          <cell r="R376">
            <v>0.99940828402366866</v>
          </cell>
          <cell r="S376">
            <v>1</v>
          </cell>
          <cell r="T376">
            <v>1</v>
          </cell>
          <cell r="U376">
            <v>0.5</v>
          </cell>
          <cell r="V376">
            <v>0</v>
          </cell>
        </row>
        <row r="377">
          <cell r="Q377">
            <v>3.4285714285714287E-2</v>
          </cell>
          <cell r="R377">
            <v>0.99940828402366866</v>
          </cell>
          <cell r="S377">
            <v>0</v>
          </cell>
          <cell r="T377">
            <v>0</v>
          </cell>
          <cell r="U377">
            <v>0.75</v>
          </cell>
          <cell r="V377">
            <v>0.59884361233480177</v>
          </cell>
        </row>
        <row r="378">
          <cell r="Q378">
            <v>0.23714285714285716</v>
          </cell>
          <cell r="R378">
            <v>0.99940828402366866</v>
          </cell>
          <cell r="S378">
            <v>0</v>
          </cell>
          <cell r="T378">
            <v>0.57111874209289715</v>
          </cell>
          <cell r="U378">
            <v>0.75</v>
          </cell>
          <cell r="V378">
            <v>0</v>
          </cell>
        </row>
        <row r="379">
          <cell r="Q379">
            <v>0.23428571428571429</v>
          </cell>
          <cell r="R379">
            <v>0.99940828402366866</v>
          </cell>
          <cell r="S379">
            <v>0</v>
          </cell>
          <cell r="T379">
            <v>0</v>
          </cell>
          <cell r="U379">
            <v>0.5</v>
          </cell>
          <cell r="V379">
            <v>0.44404332129963897</v>
          </cell>
        </row>
        <row r="380">
          <cell r="Q380">
            <v>7.7142857142857138E-2</v>
          </cell>
          <cell r="R380">
            <v>0.99940828402366866</v>
          </cell>
          <cell r="S380">
            <v>0</v>
          </cell>
          <cell r="T380">
            <v>0</v>
          </cell>
          <cell r="U380">
            <v>0.5</v>
          </cell>
          <cell r="V380">
            <v>0.75655479811221815</v>
          </cell>
        </row>
        <row r="381">
          <cell r="Q381">
            <v>0.16285714285714287</v>
          </cell>
          <cell r="R381">
            <v>0.99940828402366866</v>
          </cell>
          <cell r="S381">
            <v>1</v>
          </cell>
          <cell r="T381">
            <v>0</v>
          </cell>
          <cell r="U381">
            <v>0.75</v>
          </cell>
          <cell r="V381">
            <v>0</v>
          </cell>
        </row>
        <row r="382">
          <cell r="Q382">
            <v>3.7142857142857144E-2</v>
          </cell>
          <cell r="R382">
            <v>0.99940828402366866</v>
          </cell>
          <cell r="S382">
            <v>1</v>
          </cell>
          <cell r="T382">
            <v>0</v>
          </cell>
          <cell r="U382">
            <v>1</v>
          </cell>
          <cell r="V382">
            <v>0</v>
          </cell>
        </row>
        <row r="383">
          <cell r="Q383">
            <v>0.20285714285714285</v>
          </cell>
          <cell r="R383">
            <v>0.99940828402366866</v>
          </cell>
          <cell r="S383">
            <v>0</v>
          </cell>
          <cell r="T383">
            <v>0</v>
          </cell>
          <cell r="U383">
            <v>1</v>
          </cell>
          <cell r="V383">
            <v>0</v>
          </cell>
        </row>
        <row r="384">
          <cell r="Q384">
            <v>0.39714285714285713</v>
          </cell>
          <cell r="R384">
            <v>0.99940828402366866</v>
          </cell>
          <cell r="S384">
            <v>0</v>
          </cell>
          <cell r="T384">
            <v>0.3303637713437268</v>
          </cell>
          <cell r="U384">
            <v>0.5</v>
          </cell>
          <cell r="V384">
            <v>0</v>
          </cell>
        </row>
        <row r="385">
          <cell r="Q385">
            <v>7.7142857142857138E-2</v>
          </cell>
          <cell r="R385">
            <v>0.99940828402366866</v>
          </cell>
          <cell r="S385">
            <v>0</v>
          </cell>
          <cell r="T385">
            <v>0</v>
          </cell>
          <cell r="U385">
            <v>0.5</v>
          </cell>
          <cell r="V385">
            <v>0.75</v>
          </cell>
        </row>
        <row r="386">
          <cell r="Q386">
            <v>0.40285714285714286</v>
          </cell>
          <cell r="R386">
            <v>0.99940828402366866</v>
          </cell>
          <cell r="S386">
            <v>0</v>
          </cell>
          <cell r="T386">
            <v>0</v>
          </cell>
          <cell r="U386">
            <v>0.5</v>
          </cell>
          <cell r="V386">
            <v>9.7741094700260642E-2</v>
          </cell>
        </row>
        <row r="387">
          <cell r="Q387">
            <v>0.15714285714285714</v>
          </cell>
          <cell r="R387">
            <v>0.99940828402366866</v>
          </cell>
          <cell r="S387">
            <v>0</v>
          </cell>
          <cell r="T387">
            <v>1</v>
          </cell>
          <cell r="U387">
            <v>0.75</v>
          </cell>
          <cell r="V387">
            <v>0</v>
          </cell>
        </row>
        <row r="388">
          <cell r="Q388">
            <v>0.15714285714285714</v>
          </cell>
          <cell r="R388">
            <v>0.99940828402366866</v>
          </cell>
          <cell r="S388">
            <v>0</v>
          </cell>
          <cell r="T388">
            <v>1</v>
          </cell>
          <cell r="U388">
            <v>0.75</v>
          </cell>
          <cell r="V388">
            <v>0</v>
          </cell>
        </row>
        <row r="389">
          <cell r="Q389">
            <v>0.15714285714285714</v>
          </cell>
          <cell r="R389">
            <v>0.99940828402366866</v>
          </cell>
          <cell r="S389">
            <v>0</v>
          </cell>
          <cell r="T389">
            <v>1</v>
          </cell>
          <cell r="U389">
            <v>0.75</v>
          </cell>
          <cell r="V389">
            <v>0</v>
          </cell>
        </row>
        <row r="390">
          <cell r="Q390">
            <v>0.32285714285714284</v>
          </cell>
          <cell r="R390">
            <v>0.99940828402366866</v>
          </cell>
          <cell r="S390">
            <v>0</v>
          </cell>
          <cell r="T390">
            <v>0</v>
          </cell>
          <cell r="U390">
            <v>0.75</v>
          </cell>
          <cell r="V390">
            <v>0</v>
          </cell>
        </row>
        <row r="391">
          <cell r="Q391">
            <v>0.28000000000000003</v>
          </cell>
          <cell r="R391">
            <v>0.99940828402366866</v>
          </cell>
          <cell r="S391">
            <v>0</v>
          </cell>
          <cell r="T391">
            <v>1</v>
          </cell>
          <cell r="U391">
            <v>0.5</v>
          </cell>
          <cell r="V391">
            <v>0</v>
          </cell>
        </row>
        <row r="392">
          <cell r="Q392">
            <v>0.15428571428571428</v>
          </cell>
          <cell r="R392">
            <v>0.99940828402366866</v>
          </cell>
          <cell r="S392">
            <v>1</v>
          </cell>
          <cell r="T392">
            <v>0</v>
          </cell>
          <cell r="U392">
            <v>0.75</v>
          </cell>
          <cell r="V392">
            <v>0</v>
          </cell>
        </row>
        <row r="393">
          <cell r="Q393">
            <v>0.19428571428571428</v>
          </cell>
          <cell r="R393">
            <v>0.99940828402366866</v>
          </cell>
          <cell r="S393">
            <v>0</v>
          </cell>
          <cell r="T393">
            <v>0</v>
          </cell>
          <cell r="U393">
            <v>1</v>
          </cell>
          <cell r="V393">
            <v>0</v>
          </cell>
        </row>
        <row r="394">
          <cell r="Q394">
            <v>0.19428571428571428</v>
          </cell>
          <cell r="R394">
            <v>0.99940828402366866</v>
          </cell>
          <cell r="S394">
            <v>0</v>
          </cell>
          <cell r="T394">
            <v>0</v>
          </cell>
          <cell r="U394">
            <v>1</v>
          </cell>
          <cell r="V394">
            <v>0</v>
          </cell>
        </row>
        <row r="395">
          <cell r="Q395">
            <v>0.19428571428571428</v>
          </cell>
          <cell r="R395">
            <v>0.99940828402366866</v>
          </cell>
          <cell r="S395">
            <v>0</v>
          </cell>
          <cell r="T395">
            <v>0</v>
          </cell>
          <cell r="U395">
            <v>1</v>
          </cell>
          <cell r="V395">
            <v>0</v>
          </cell>
        </row>
        <row r="396">
          <cell r="Q396">
            <v>0.19428571428571428</v>
          </cell>
          <cell r="R396">
            <v>0.99940828402366866</v>
          </cell>
          <cell r="S396">
            <v>0</v>
          </cell>
          <cell r="T396">
            <v>0</v>
          </cell>
          <cell r="U396">
            <v>1</v>
          </cell>
          <cell r="V396">
            <v>0</v>
          </cell>
        </row>
        <row r="397">
          <cell r="Q397">
            <v>0.19428571428571428</v>
          </cell>
          <cell r="R397">
            <v>0.99940828402366866</v>
          </cell>
          <cell r="S397">
            <v>0</v>
          </cell>
          <cell r="T397">
            <v>0</v>
          </cell>
          <cell r="U397">
            <v>1</v>
          </cell>
          <cell r="V397">
            <v>0</v>
          </cell>
        </row>
        <row r="398">
          <cell r="Q398">
            <v>0.11428571428571428</v>
          </cell>
          <cell r="R398">
            <v>0.99940828402366866</v>
          </cell>
          <cell r="S398">
            <v>0</v>
          </cell>
          <cell r="T398">
            <v>0</v>
          </cell>
          <cell r="U398">
            <v>0.5</v>
          </cell>
          <cell r="V398">
            <v>0.65988372093023251</v>
          </cell>
        </row>
        <row r="399">
          <cell r="Q399">
            <v>0.15142857142857144</v>
          </cell>
          <cell r="R399">
            <v>0.99940828402366866</v>
          </cell>
          <cell r="S399">
            <v>1</v>
          </cell>
          <cell r="T399">
            <v>0</v>
          </cell>
          <cell r="U399">
            <v>0.75</v>
          </cell>
          <cell r="V399">
            <v>0</v>
          </cell>
        </row>
        <row r="400">
          <cell r="Q400">
            <v>0.31714285714285712</v>
          </cell>
          <cell r="R400">
            <v>0.99940828402366866</v>
          </cell>
          <cell r="S400">
            <v>0</v>
          </cell>
          <cell r="T400">
            <v>0</v>
          </cell>
          <cell r="U400">
            <v>0.75</v>
          </cell>
          <cell r="V400">
            <v>0</v>
          </cell>
        </row>
        <row r="401">
          <cell r="Q401">
            <v>0.31714285714285712</v>
          </cell>
          <cell r="R401">
            <v>0.99940828402366866</v>
          </cell>
          <cell r="S401">
            <v>0</v>
          </cell>
          <cell r="T401">
            <v>0</v>
          </cell>
          <cell r="U401">
            <v>0.75</v>
          </cell>
          <cell r="V401">
            <v>0</v>
          </cell>
        </row>
        <row r="402">
          <cell r="Q402">
            <v>0.44</v>
          </cell>
          <cell r="R402">
            <v>0.99940828402366866</v>
          </cell>
          <cell r="S402">
            <v>0</v>
          </cell>
          <cell r="T402">
            <v>0</v>
          </cell>
          <cell r="U402">
            <v>0.5</v>
          </cell>
          <cell r="V402">
            <v>1.7118189937481393E-3</v>
          </cell>
        </row>
        <row r="403">
          <cell r="Q403">
            <v>0.16285714285714287</v>
          </cell>
          <cell r="R403">
            <v>0.99940828402366866</v>
          </cell>
          <cell r="S403">
            <v>0</v>
          </cell>
          <cell r="T403">
            <v>0.16770691994572592</v>
          </cell>
          <cell r="U403">
            <v>0.25</v>
          </cell>
          <cell r="V403">
            <v>0.75</v>
          </cell>
        </row>
        <row r="404">
          <cell r="Q404">
            <v>0.1657142857142857</v>
          </cell>
          <cell r="R404">
            <v>0.99940828402366866</v>
          </cell>
          <cell r="S404">
            <v>0</v>
          </cell>
          <cell r="T404">
            <v>0</v>
          </cell>
          <cell r="U404">
            <v>0.75</v>
          </cell>
          <cell r="V404">
            <v>0.29976019184652281</v>
          </cell>
        </row>
        <row r="405">
          <cell r="Q405">
            <v>0.27142857142857141</v>
          </cell>
          <cell r="R405">
            <v>0.99940828402366866</v>
          </cell>
          <cell r="S405">
            <v>1</v>
          </cell>
          <cell r="T405">
            <v>0</v>
          </cell>
          <cell r="U405">
            <v>0.5</v>
          </cell>
          <cell r="V405">
            <v>0</v>
          </cell>
        </row>
        <row r="406">
          <cell r="Q406">
            <v>0.14571428571428571</v>
          </cell>
          <cell r="R406">
            <v>0.99940828402366866</v>
          </cell>
          <cell r="S406">
            <v>0</v>
          </cell>
          <cell r="T406">
            <v>1</v>
          </cell>
          <cell r="U406">
            <v>0.75</v>
          </cell>
          <cell r="V406">
            <v>0</v>
          </cell>
        </row>
        <row r="407">
          <cell r="Q407">
            <v>0.14571428571428571</v>
          </cell>
          <cell r="R407">
            <v>0.99940828402366866</v>
          </cell>
          <cell r="S407">
            <v>0</v>
          </cell>
          <cell r="T407">
            <v>1</v>
          </cell>
          <cell r="U407">
            <v>0.75</v>
          </cell>
          <cell r="V407">
            <v>0</v>
          </cell>
        </row>
        <row r="408">
          <cell r="Q408">
            <v>0.23428571428571429</v>
          </cell>
          <cell r="R408">
            <v>0.99940828402366866</v>
          </cell>
          <cell r="S408">
            <v>0</v>
          </cell>
          <cell r="T408">
            <v>0</v>
          </cell>
          <cell r="U408">
            <v>0.75</v>
          </cell>
          <cell r="V408">
            <v>0.15470801267541875</v>
          </cell>
        </row>
        <row r="409">
          <cell r="Q409">
            <v>0.31142857142857144</v>
          </cell>
          <cell r="R409">
            <v>0.99940828402366866</v>
          </cell>
          <cell r="S409">
            <v>0</v>
          </cell>
          <cell r="T409">
            <v>6.8775790921595599E-4</v>
          </cell>
          <cell r="U409">
            <v>0.75</v>
          </cell>
          <cell r="V409">
            <v>0</v>
          </cell>
        </row>
        <row r="410">
          <cell r="Q410">
            <v>0.18571428571428572</v>
          </cell>
          <cell r="R410">
            <v>0.99940828402366866</v>
          </cell>
          <cell r="S410">
            <v>0</v>
          </cell>
          <cell r="T410">
            <v>0</v>
          </cell>
          <cell r="U410">
            <v>1</v>
          </cell>
          <cell r="V410">
            <v>0</v>
          </cell>
        </row>
        <row r="411">
          <cell r="Q411">
            <v>0.18571428571428572</v>
          </cell>
          <cell r="R411">
            <v>0.99940828402366866</v>
          </cell>
          <cell r="S411">
            <v>0</v>
          </cell>
          <cell r="T411">
            <v>0</v>
          </cell>
          <cell r="U411">
            <v>1</v>
          </cell>
          <cell r="V411">
            <v>0</v>
          </cell>
        </row>
        <row r="412">
          <cell r="Q412">
            <v>0.38857142857142857</v>
          </cell>
          <cell r="R412">
            <v>0.99940828402366866</v>
          </cell>
          <cell r="S412">
            <v>1</v>
          </cell>
          <cell r="T412">
            <v>0</v>
          </cell>
          <cell r="U412">
            <v>0.25</v>
          </cell>
          <cell r="V412">
            <v>1.0652688535678053E-2</v>
          </cell>
        </row>
        <row r="413">
          <cell r="Q413">
            <v>0.06</v>
          </cell>
          <cell r="R413">
            <v>0.99940828402366866</v>
          </cell>
          <cell r="S413">
            <v>0</v>
          </cell>
          <cell r="T413">
            <v>0</v>
          </cell>
          <cell r="U413">
            <v>0.5</v>
          </cell>
          <cell r="V413">
            <v>0.75</v>
          </cell>
        </row>
        <row r="414">
          <cell r="Q414">
            <v>0.30857142857142855</v>
          </cell>
          <cell r="R414">
            <v>0.99940828402366866</v>
          </cell>
          <cell r="S414">
            <v>0</v>
          </cell>
          <cell r="T414">
            <v>0</v>
          </cell>
          <cell r="U414">
            <v>0.75</v>
          </cell>
          <cell r="V414">
            <v>0</v>
          </cell>
        </row>
        <row r="415">
          <cell r="Q415">
            <v>0.18285714285714286</v>
          </cell>
          <cell r="R415">
            <v>0.99940828402366866</v>
          </cell>
          <cell r="S415">
            <v>0</v>
          </cell>
          <cell r="T415">
            <v>0</v>
          </cell>
          <cell r="U415">
            <v>0.5</v>
          </cell>
          <cell r="V415">
            <v>0.5</v>
          </cell>
        </row>
        <row r="416">
          <cell r="Q416">
            <v>0.14000000000000001</v>
          </cell>
          <cell r="R416">
            <v>0.99940828402366866</v>
          </cell>
          <cell r="S416">
            <v>0</v>
          </cell>
          <cell r="T416">
            <v>1</v>
          </cell>
          <cell r="U416">
            <v>0</v>
          </cell>
          <cell r="V416">
            <v>0.75</v>
          </cell>
        </row>
        <row r="417">
          <cell r="Q417">
            <v>0.43142857142857144</v>
          </cell>
          <cell r="R417">
            <v>0.99940828402366866</v>
          </cell>
          <cell r="S417">
            <v>0</v>
          </cell>
          <cell r="T417">
            <v>0</v>
          </cell>
          <cell r="U417">
            <v>0.5</v>
          </cell>
          <cell r="V417">
            <v>0</v>
          </cell>
        </row>
        <row r="418">
          <cell r="Q418">
            <v>0.30571428571428572</v>
          </cell>
          <cell r="R418">
            <v>0.99940828402366866</v>
          </cell>
          <cell r="S418">
            <v>0</v>
          </cell>
          <cell r="T418">
            <v>0</v>
          </cell>
          <cell r="U418">
            <v>0.75</v>
          </cell>
          <cell r="V418">
            <v>0</v>
          </cell>
        </row>
        <row r="419">
          <cell r="Q419">
            <v>0.38857142857142857</v>
          </cell>
          <cell r="R419">
            <v>0.99940828402366866</v>
          </cell>
          <cell r="S419">
            <v>1</v>
          </cell>
          <cell r="T419">
            <v>0</v>
          </cell>
          <cell r="U419">
            <v>0.25</v>
          </cell>
          <cell r="V419">
            <v>0</v>
          </cell>
        </row>
        <row r="420">
          <cell r="Q420">
            <v>0.18</v>
          </cell>
          <cell r="R420">
            <v>0.99940828402366866</v>
          </cell>
          <cell r="S420">
            <v>0</v>
          </cell>
          <cell r="T420">
            <v>0</v>
          </cell>
          <cell r="U420">
            <v>1</v>
          </cell>
          <cell r="V420">
            <v>0</v>
          </cell>
        </row>
        <row r="421">
          <cell r="Q421">
            <v>0.26285714285714284</v>
          </cell>
          <cell r="R421">
            <v>0.99940828402366866</v>
          </cell>
          <cell r="S421">
            <v>1</v>
          </cell>
          <cell r="T421">
            <v>0</v>
          </cell>
          <cell r="U421">
            <v>0.5</v>
          </cell>
          <cell r="V421">
            <v>0</v>
          </cell>
        </row>
        <row r="422">
          <cell r="Q422">
            <v>0.26285714285714284</v>
          </cell>
          <cell r="R422">
            <v>0.99940828402366866</v>
          </cell>
          <cell r="S422">
            <v>1</v>
          </cell>
          <cell r="T422">
            <v>0</v>
          </cell>
          <cell r="U422">
            <v>0.5</v>
          </cell>
          <cell r="V422">
            <v>0</v>
          </cell>
        </row>
        <row r="423">
          <cell r="Q423">
            <v>0.26285714285714284</v>
          </cell>
          <cell r="R423">
            <v>0.99940828402366866</v>
          </cell>
          <cell r="S423">
            <v>1</v>
          </cell>
          <cell r="T423">
            <v>0</v>
          </cell>
          <cell r="U423">
            <v>0.5</v>
          </cell>
          <cell r="V423">
            <v>0</v>
          </cell>
        </row>
        <row r="424">
          <cell r="Q424">
            <v>0.13714285714285715</v>
          </cell>
          <cell r="R424">
            <v>0.99940828402366866</v>
          </cell>
          <cell r="S424">
            <v>0</v>
          </cell>
          <cell r="T424">
            <v>1</v>
          </cell>
          <cell r="U424">
            <v>0.75</v>
          </cell>
          <cell r="V424">
            <v>0</v>
          </cell>
        </row>
        <row r="425">
          <cell r="Q425">
            <v>4.5714285714285714E-2</v>
          </cell>
          <cell r="R425">
            <v>0.99940828402366866</v>
          </cell>
          <cell r="S425">
            <v>0</v>
          </cell>
          <cell r="T425">
            <v>4.3932255189099705E-2</v>
          </cell>
          <cell r="U425">
            <v>0.75</v>
          </cell>
          <cell r="V425">
            <v>0.5</v>
          </cell>
        </row>
        <row r="426">
          <cell r="Q426">
            <v>0.30285714285714288</v>
          </cell>
          <cell r="R426">
            <v>0.99940828402366866</v>
          </cell>
          <cell r="S426">
            <v>0</v>
          </cell>
          <cell r="T426">
            <v>0</v>
          </cell>
          <cell r="U426">
            <v>0.75</v>
          </cell>
          <cell r="V426">
            <v>0</v>
          </cell>
        </row>
        <row r="427">
          <cell r="Q427">
            <v>0.30285714285714288</v>
          </cell>
          <cell r="R427">
            <v>0.99940828402366866</v>
          </cell>
          <cell r="S427">
            <v>0</v>
          </cell>
          <cell r="T427">
            <v>0</v>
          </cell>
          <cell r="U427">
            <v>0.75</v>
          </cell>
          <cell r="V427">
            <v>0</v>
          </cell>
        </row>
        <row r="428">
          <cell r="Q428">
            <v>0.13714285714285715</v>
          </cell>
          <cell r="R428">
            <v>0.99940828402366866</v>
          </cell>
          <cell r="S428">
            <v>0</v>
          </cell>
          <cell r="T428">
            <v>0.99255121042830541</v>
          </cell>
          <cell r="U428">
            <v>0.75</v>
          </cell>
          <cell r="V428">
            <v>0</v>
          </cell>
        </row>
        <row r="429">
          <cell r="Q429">
            <v>0.29714285714285715</v>
          </cell>
          <cell r="R429">
            <v>0.99940828402366866</v>
          </cell>
          <cell r="S429">
            <v>0</v>
          </cell>
          <cell r="T429">
            <v>3.1932093775262731E-2</v>
          </cell>
          <cell r="U429">
            <v>0.75</v>
          </cell>
          <cell r="V429">
            <v>0</v>
          </cell>
        </row>
        <row r="430">
          <cell r="Q430">
            <v>5.1428571428571428E-2</v>
          </cell>
          <cell r="R430">
            <v>0.99940828402366866</v>
          </cell>
          <cell r="S430">
            <v>0</v>
          </cell>
          <cell r="T430">
            <v>0</v>
          </cell>
          <cell r="U430">
            <v>0.5</v>
          </cell>
          <cell r="V430">
            <v>0.75</v>
          </cell>
        </row>
        <row r="431">
          <cell r="Q431">
            <v>0.42571428571428571</v>
          </cell>
          <cell r="R431">
            <v>0.99940828402366866</v>
          </cell>
          <cell r="S431">
            <v>0</v>
          </cell>
          <cell r="T431">
            <v>0</v>
          </cell>
          <cell r="U431">
            <v>0.5</v>
          </cell>
          <cell r="V431">
            <v>0</v>
          </cell>
        </row>
        <row r="432">
          <cell r="Q432">
            <v>0.42571428571428571</v>
          </cell>
          <cell r="R432">
            <v>0.99940828402366866</v>
          </cell>
          <cell r="S432">
            <v>0</v>
          </cell>
          <cell r="T432">
            <v>0</v>
          </cell>
          <cell r="U432">
            <v>0.5</v>
          </cell>
          <cell r="V432">
            <v>0</v>
          </cell>
        </row>
        <row r="433">
          <cell r="Q433">
            <v>0.42571428571428571</v>
          </cell>
          <cell r="R433">
            <v>0.99940828402366866</v>
          </cell>
          <cell r="S433">
            <v>0</v>
          </cell>
          <cell r="T433">
            <v>0</v>
          </cell>
          <cell r="U433">
            <v>0.5</v>
          </cell>
          <cell r="V433">
            <v>0</v>
          </cell>
        </row>
        <row r="434">
          <cell r="Q434">
            <v>0.13142857142857142</v>
          </cell>
          <cell r="R434">
            <v>0.99940828402366866</v>
          </cell>
          <cell r="S434">
            <v>1</v>
          </cell>
          <cell r="T434">
            <v>0</v>
          </cell>
          <cell r="U434">
            <v>0.25</v>
          </cell>
          <cell r="V434">
            <v>0.5</v>
          </cell>
        </row>
        <row r="435">
          <cell r="Q435">
            <v>0.29714285714285715</v>
          </cell>
          <cell r="R435">
            <v>0.99940828402366866</v>
          </cell>
          <cell r="S435">
            <v>0</v>
          </cell>
          <cell r="T435">
            <v>0</v>
          </cell>
          <cell r="U435">
            <v>0.75</v>
          </cell>
          <cell r="V435">
            <v>0</v>
          </cell>
        </row>
        <row r="436">
          <cell r="Q436">
            <v>0.51142857142857145</v>
          </cell>
          <cell r="R436">
            <v>0.99940828402366866</v>
          </cell>
          <cell r="S436">
            <v>0</v>
          </cell>
          <cell r="T436">
            <v>0.21107784431137724</v>
          </cell>
          <cell r="U436">
            <v>0.25</v>
          </cell>
          <cell r="V436">
            <v>0</v>
          </cell>
        </row>
        <row r="437">
          <cell r="Q437">
            <v>0.29428571428571426</v>
          </cell>
          <cell r="R437">
            <v>0.99940828402366866</v>
          </cell>
          <cell r="S437">
            <v>0</v>
          </cell>
          <cell r="T437">
            <v>0</v>
          </cell>
          <cell r="U437">
            <v>0.75</v>
          </cell>
          <cell r="V437">
            <v>0</v>
          </cell>
        </row>
        <row r="438">
          <cell r="Q438">
            <v>0.29428571428571426</v>
          </cell>
          <cell r="R438">
            <v>0.99940828402366866</v>
          </cell>
          <cell r="S438">
            <v>0</v>
          </cell>
          <cell r="T438">
            <v>0</v>
          </cell>
          <cell r="U438">
            <v>0.75</v>
          </cell>
          <cell r="V438">
            <v>0</v>
          </cell>
        </row>
        <row r="439">
          <cell r="Q439">
            <v>0.29428571428571426</v>
          </cell>
          <cell r="R439">
            <v>0.99940828402366866</v>
          </cell>
          <cell r="S439">
            <v>0</v>
          </cell>
          <cell r="T439">
            <v>0</v>
          </cell>
          <cell r="U439">
            <v>0.75</v>
          </cell>
          <cell r="V439">
            <v>0</v>
          </cell>
        </row>
        <row r="440">
          <cell r="Q440">
            <v>0.16857142857142857</v>
          </cell>
          <cell r="R440">
            <v>0.99940828402366866</v>
          </cell>
          <cell r="S440">
            <v>0</v>
          </cell>
          <cell r="T440">
            <v>0</v>
          </cell>
          <cell r="U440">
            <v>1</v>
          </cell>
          <cell r="V440">
            <v>0</v>
          </cell>
        </row>
        <row r="441">
          <cell r="Q441">
            <v>0.25142857142857145</v>
          </cell>
          <cell r="R441">
            <v>0.99940828402366866</v>
          </cell>
          <cell r="S441">
            <v>0</v>
          </cell>
          <cell r="T441">
            <v>1</v>
          </cell>
          <cell r="U441">
            <v>0.5</v>
          </cell>
          <cell r="V441">
            <v>0</v>
          </cell>
        </row>
        <row r="442">
          <cell r="Q442">
            <v>0.25142857142857145</v>
          </cell>
          <cell r="R442">
            <v>0.99940828402366866</v>
          </cell>
          <cell r="S442">
            <v>0</v>
          </cell>
          <cell r="T442">
            <v>1</v>
          </cell>
          <cell r="U442">
            <v>0.5</v>
          </cell>
          <cell r="V442">
            <v>0</v>
          </cell>
        </row>
        <row r="443">
          <cell r="Q443">
            <v>0.20285714285714285</v>
          </cell>
          <cell r="R443">
            <v>0.99940828402366866</v>
          </cell>
          <cell r="S443">
            <v>0</v>
          </cell>
          <cell r="T443">
            <v>0.54062053480302108</v>
          </cell>
          <cell r="U443">
            <v>0.75</v>
          </cell>
          <cell r="V443">
            <v>0</v>
          </cell>
        </row>
        <row r="444">
          <cell r="Q444">
            <v>0.29142857142857143</v>
          </cell>
          <cell r="R444">
            <v>0.99940828402366866</v>
          </cell>
          <cell r="S444">
            <v>0</v>
          </cell>
          <cell r="T444">
            <v>0</v>
          </cell>
          <cell r="U444">
            <v>0.75</v>
          </cell>
          <cell r="V444">
            <v>0</v>
          </cell>
        </row>
        <row r="445">
          <cell r="Q445">
            <v>0.16285714285714287</v>
          </cell>
          <cell r="R445">
            <v>0.99940828402366866</v>
          </cell>
          <cell r="S445">
            <v>0</v>
          </cell>
          <cell r="T445">
            <v>0</v>
          </cell>
          <cell r="U445">
            <v>0.25</v>
          </cell>
          <cell r="V445">
            <v>0.754125979920231</v>
          </cell>
        </row>
        <row r="446">
          <cell r="Q446">
            <v>0.41428571428571431</v>
          </cell>
          <cell r="R446">
            <v>0.99940828402366866</v>
          </cell>
          <cell r="S446">
            <v>0</v>
          </cell>
          <cell r="T446">
            <v>0</v>
          </cell>
          <cell r="U446">
            <v>0.5</v>
          </cell>
          <cell r="V446">
            <v>0</v>
          </cell>
        </row>
        <row r="447">
          <cell r="Q447">
            <v>0.28857142857142859</v>
          </cell>
          <cell r="R447">
            <v>0.99940828402366866</v>
          </cell>
          <cell r="S447">
            <v>0</v>
          </cell>
          <cell r="T447">
            <v>5.9241706161137445E-4</v>
          </cell>
          <cell r="U447">
            <v>0.75</v>
          </cell>
          <cell r="V447">
            <v>0</v>
          </cell>
        </row>
        <row r="448">
          <cell r="Q448">
            <v>0.28857142857142859</v>
          </cell>
          <cell r="R448">
            <v>0.99940828402366866</v>
          </cell>
          <cell r="S448">
            <v>0</v>
          </cell>
          <cell r="T448">
            <v>0</v>
          </cell>
          <cell r="U448">
            <v>0.75</v>
          </cell>
          <cell r="V448">
            <v>0</v>
          </cell>
        </row>
        <row r="449">
          <cell r="Q449">
            <v>0.16285714285714287</v>
          </cell>
          <cell r="R449">
            <v>0.99940828402366866</v>
          </cell>
          <cell r="S449">
            <v>0</v>
          </cell>
          <cell r="T449">
            <v>0</v>
          </cell>
          <cell r="U449">
            <v>0.25</v>
          </cell>
          <cell r="V449">
            <v>0.75</v>
          </cell>
        </row>
        <row r="450">
          <cell r="Q450">
            <v>0.16285714285714287</v>
          </cell>
          <cell r="R450">
            <v>0.99940828402366866</v>
          </cell>
          <cell r="S450">
            <v>0</v>
          </cell>
          <cell r="T450">
            <v>0</v>
          </cell>
          <cell r="U450">
            <v>0.25</v>
          </cell>
          <cell r="V450">
            <v>0.75</v>
          </cell>
        </row>
        <row r="451">
          <cell r="Q451">
            <v>3.1428571428571431E-2</v>
          </cell>
          <cell r="R451">
            <v>0.99940828402366866</v>
          </cell>
          <cell r="S451">
            <v>0</v>
          </cell>
          <cell r="T451">
            <v>0</v>
          </cell>
          <cell r="U451">
            <v>0.5</v>
          </cell>
          <cell r="V451">
            <v>0.76241830065359473</v>
          </cell>
        </row>
        <row r="452">
          <cell r="Q452">
            <v>3.7142857142857144E-2</v>
          </cell>
          <cell r="R452">
            <v>0.99940828402366866</v>
          </cell>
          <cell r="S452">
            <v>0</v>
          </cell>
          <cell r="T452">
            <v>0</v>
          </cell>
          <cell r="U452">
            <v>0.5</v>
          </cell>
          <cell r="V452">
            <v>0.75</v>
          </cell>
        </row>
        <row r="453">
          <cell r="Q453">
            <v>0.41142857142857142</v>
          </cell>
          <cell r="R453">
            <v>0.99940828402366866</v>
          </cell>
          <cell r="S453">
            <v>0</v>
          </cell>
          <cell r="T453">
            <v>0</v>
          </cell>
          <cell r="U453">
            <v>0.5</v>
          </cell>
          <cell r="V453">
            <v>0</v>
          </cell>
        </row>
        <row r="454">
          <cell r="Q454">
            <v>0.28000000000000003</v>
          </cell>
          <cell r="R454">
            <v>0.99940828402366866</v>
          </cell>
          <cell r="S454">
            <v>0</v>
          </cell>
          <cell r="T454">
            <v>3.0831878999418267E-2</v>
          </cell>
          <cell r="U454">
            <v>0.75</v>
          </cell>
          <cell r="V454">
            <v>0</v>
          </cell>
        </row>
        <row r="455">
          <cell r="Q455">
            <v>0.40285714285714286</v>
          </cell>
          <cell r="R455">
            <v>0.99940828402366866</v>
          </cell>
          <cell r="S455">
            <v>0</v>
          </cell>
          <cell r="T455">
            <v>3.608247422680412E-2</v>
          </cell>
          <cell r="U455">
            <v>0.5</v>
          </cell>
          <cell r="V455">
            <v>0</v>
          </cell>
        </row>
        <row r="456">
          <cell r="Q456">
            <v>0.11714285714285715</v>
          </cell>
          <cell r="R456">
            <v>0.99940828402366866</v>
          </cell>
          <cell r="S456">
            <v>1</v>
          </cell>
          <cell r="T456">
            <v>0</v>
          </cell>
          <cell r="U456">
            <v>0.75</v>
          </cell>
          <cell r="V456">
            <v>0</v>
          </cell>
        </row>
        <row r="457">
          <cell r="Q457">
            <v>0.10857142857142857</v>
          </cell>
          <cell r="R457">
            <v>0.99940828402366866</v>
          </cell>
          <cell r="S457">
            <v>1</v>
          </cell>
          <cell r="T457">
            <v>0</v>
          </cell>
          <cell r="U457">
            <v>0.5</v>
          </cell>
          <cell r="V457">
            <v>0.26548269581056466</v>
          </cell>
        </row>
        <row r="458">
          <cell r="Q458">
            <v>0.28285714285714286</v>
          </cell>
          <cell r="R458">
            <v>0.99940828402366866</v>
          </cell>
          <cell r="S458">
            <v>0</v>
          </cell>
          <cell r="T458">
            <v>0</v>
          </cell>
          <cell r="U458">
            <v>0.75</v>
          </cell>
          <cell r="V458">
            <v>0</v>
          </cell>
        </row>
        <row r="459">
          <cell r="Q459">
            <v>0.36571428571428571</v>
          </cell>
          <cell r="R459">
            <v>0.99940828402366866</v>
          </cell>
          <cell r="S459">
            <v>0</v>
          </cell>
          <cell r="T459">
            <v>1</v>
          </cell>
          <cell r="U459">
            <v>0.25</v>
          </cell>
          <cell r="V459">
            <v>0</v>
          </cell>
        </row>
        <row r="460">
          <cell r="Q460">
            <v>0.25428571428571428</v>
          </cell>
          <cell r="R460">
            <v>0.99940828402366866</v>
          </cell>
          <cell r="S460">
            <v>0</v>
          </cell>
          <cell r="T460">
            <v>0</v>
          </cell>
          <cell r="U460">
            <v>0.75</v>
          </cell>
          <cell r="V460">
            <v>5.6107954545454544E-2</v>
          </cell>
        </row>
        <row r="461">
          <cell r="Q461">
            <v>0.15714285714285714</v>
          </cell>
          <cell r="R461">
            <v>0.99940828402366866</v>
          </cell>
          <cell r="S461">
            <v>0</v>
          </cell>
          <cell r="T461">
            <v>0</v>
          </cell>
          <cell r="U461">
            <v>1</v>
          </cell>
          <cell r="V461">
            <v>0</v>
          </cell>
        </row>
        <row r="462">
          <cell r="Q462">
            <v>0.11428571428571428</v>
          </cell>
          <cell r="R462">
            <v>0.99940828402366866</v>
          </cell>
          <cell r="S462">
            <v>1</v>
          </cell>
          <cell r="T462">
            <v>0</v>
          </cell>
          <cell r="U462">
            <v>0.75</v>
          </cell>
          <cell r="V462">
            <v>0</v>
          </cell>
        </row>
        <row r="463">
          <cell r="Q463">
            <v>0.11428571428571428</v>
          </cell>
          <cell r="R463">
            <v>0.99940828402366866</v>
          </cell>
          <cell r="S463">
            <v>1</v>
          </cell>
          <cell r="T463">
            <v>0</v>
          </cell>
          <cell r="U463">
            <v>0.75</v>
          </cell>
          <cell r="V463">
            <v>0</v>
          </cell>
        </row>
        <row r="464">
          <cell r="Q464">
            <v>0.11428571428571428</v>
          </cell>
          <cell r="R464">
            <v>0.99940828402366866</v>
          </cell>
          <cell r="S464">
            <v>0</v>
          </cell>
          <cell r="T464">
            <v>1</v>
          </cell>
          <cell r="U464">
            <v>0.75</v>
          </cell>
          <cell r="V464">
            <v>0</v>
          </cell>
        </row>
        <row r="465">
          <cell r="Q465">
            <v>0.12</v>
          </cell>
          <cell r="R465">
            <v>0.99940828402366866</v>
          </cell>
          <cell r="S465">
            <v>0</v>
          </cell>
          <cell r="T465">
            <v>0</v>
          </cell>
          <cell r="U465">
            <v>0.5</v>
          </cell>
          <cell r="V465">
            <v>0.56766612641815239</v>
          </cell>
        </row>
        <row r="466">
          <cell r="Q466">
            <v>0.2742857142857143</v>
          </cell>
          <cell r="R466">
            <v>0.99940828402366866</v>
          </cell>
          <cell r="S466">
            <v>0</v>
          </cell>
          <cell r="T466">
            <v>2.3323890462700662E-2</v>
          </cell>
          <cell r="U466">
            <v>0.75</v>
          </cell>
          <cell r="V466">
            <v>0</v>
          </cell>
        </row>
        <row r="467">
          <cell r="Q467">
            <v>0.11142857142857143</v>
          </cell>
          <cell r="R467">
            <v>0.99940828402366866</v>
          </cell>
          <cell r="S467">
            <v>0</v>
          </cell>
          <cell r="T467">
            <v>1</v>
          </cell>
          <cell r="U467">
            <v>0.75</v>
          </cell>
          <cell r="V467">
            <v>0</v>
          </cell>
        </row>
        <row r="468">
          <cell r="Q468">
            <v>0.20857142857142857</v>
          </cell>
          <cell r="R468">
            <v>0.99940828402366866</v>
          </cell>
          <cell r="S468">
            <v>0</v>
          </cell>
          <cell r="T468">
            <v>0.41700404858299595</v>
          </cell>
          <cell r="U468">
            <v>0.75</v>
          </cell>
          <cell r="V468">
            <v>0</v>
          </cell>
        </row>
        <row r="469">
          <cell r="Q469">
            <v>0.27714285714285714</v>
          </cell>
          <cell r="R469">
            <v>0.99940828402366866</v>
          </cell>
          <cell r="S469">
            <v>0</v>
          </cell>
          <cell r="T469">
            <v>0</v>
          </cell>
          <cell r="U469">
            <v>0.75</v>
          </cell>
          <cell r="V469">
            <v>0</v>
          </cell>
        </row>
        <row r="470">
          <cell r="Q470">
            <v>2.5714285714285714E-2</v>
          </cell>
          <cell r="R470">
            <v>0.99940828402366866</v>
          </cell>
          <cell r="S470">
            <v>0</v>
          </cell>
          <cell r="T470">
            <v>0</v>
          </cell>
          <cell r="U470">
            <v>0.5</v>
          </cell>
          <cell r="V470">
            <v>0.75</v>
          </cell>
        </row>
        <row r="471">
          <cell r="Q471">
            <v>0.10857142857142857</v>
          </cell>
          <cell r="R471">
            <v>0.99940828402366866</v>
          </cell>
          <cell r="S471">
            <v>0</v>
          </cell>
          <cell r="T471">
            <v>1</v>
          </cell>
          <cell r="U471">
            <v>0.75</v>
          </cell>
          <cell r="V471">
            <v>0</v>
          </cell>
        </row>
        <row r="472">
          <cell r="Q472">
            <v>0.2742857142857143</v>
          </cell>
          <cell r="R472">
            <v>0.99940828402366866</v>
          </cell>
          <cell r="S472">
            <v>0</v>
          </cell>
          <cell r="T472">
            <v>5.0450093975665253E-3</v>
          </cell>
          <cell r="U472">
            <v>0.75</v>
          </cell>
          <cell r="V472">
            <v>0</v>
          </cell>
        </row>
        <row r="473">
          <cell r="Q473">
            <v>0.2742857142857143</v>
          </cell>
          <cell r="R473">
            <v>0.99940828402366866</v>
          </cell>
          <cell r="S473">
            <v>0</v>
          </cell>
          <cell r="T473">
            <v>0</v>
          </cell>
          <cell r="U473">
            <v>0.75</v>
          </cell>
          <cell r="V473">
            <v>0</v>
          </cell>
        </row>
        <row r="474">
          <cell r="Q474">
            <v>0.14857142857142858</v>
          </cell>
          <cell r="R474">
            <v>0.99940828402366866</v>
          </cell>
          <cell r="S474">
            <v>0</v>
          </cell>
          <cell r="T474">
            <v>0</v>
          </cell>
          <cell r="U474">
            <v>1</v>
          </cell>
          <cell r="V474">
            <v>0</v>
          </cell>
        </row>
        <row r="475">
          <cell r="Q475">
            <v>0.14857142857142858</v>
          </cell>
          <cell r="R475">
            <v>0.99940828402366866</v>
          </cell>
          <cell r="S475">
            <v>0</v>
          </cell>
          <cell r="T475">
            <v>0</v>
          </cell>
          <cell r="U475">
            <v>1</v>
          </cell>
          <cell r="V475">
            <v>0</v>
          </cell>
        </row>
        <row r="476">
          <cell r="Q476">
            <v>0.39714285714285713</v>
          </cell>
          <cell r="R476">
            <v>0.99940828402366866</v>
          </cell>
          <cell r="S476">
            <v>0</v>
          </cell>
          <cell r="T476">
            <v>0</v>
          </cell>
          <cell r="U476">
            <v>0.5</v>
          </cell>
          <cell r="V476">
            <v>0</v>
          </cell>
        </row>
        <row r="477">
          <cell r="Q477">
            <v>0.39714285714285713</v>
          </cell>
          <cell r="R477">
            <v>0.99940828402366866</v>
          </cell>
          <cell r="S477">
            <v>0</v>
          </cell>
          <cell r="T477">
            <v>0</v>
          </cell>
          <cell r="U477">
            <v>0.5</v>
          </cell>
          <cell r="V477">
            <v>0</v>
          </cell>
        </row>
        <row r="478">
          <cell r="Q478">
            <v>0.39714285714285713</v>
          </cell>
          <cell r="R478">
            <v>0.99940828402366866</v>
          </cell>
          <cell r="S478">
            <v>0</v>
          </cell>
          <cell r="T478">
            <v>0</v>
          </cell>
          <cell r="U478">
            <v>0.5</v>
          </cell>
          <cell r="V478">
            <v>0</v>
          </cell>
        </row>
        <row r="479">
          <cell r="Q479">
            <v>0.39714285714285713</v>
          </cell>
          <cell r="R479">
            <v>0.99940828402366866</v>
          </cell>
          <cell r="S479">
            <v>0</v>
          </cell>
          <cell r="T479">
            <v>0</v>
          </cell>
          <cell r="U479">
            <v>0.5</v>
          </cell>
          <cell r="V479">
            <v>0</v>
          </cell>
        </row>
        <row r="480">
          <cell r="Q480">
            <v>0.02</v>
          </cell>
          <cell r="R480">
            <v>0.99940828402366866</v>
          </cell>
          <cell r="S480">
            <v>0</v>
          </cell>
          <cell r="T480">
            <v>9.4161958568738224E-3</v>
          </cell>
          <cell r="U480">
            <v>0.5</v>
          </cell>
          <cell r="V480">
            <v>0.75</v>
          </cell>
        </row>
        <row r="481">
          <cell r="Q481">
            <v>1.7142857142857144E-2</v>
          </cell>
          <cell r="R481">
            <v>0.99940828402366866</v>
          </cell>
          <cell r="S481">
            <v>0</v>
          </cell>
          <cell r="T481">
            <v>2.021276595744681E-2</v>
          </cell>
          <cell r="U481">
            <v>0.5</v>
          </cell>
          <cell r="V481">
            <v>0.75</v>
          </cell>
        </row>
        <row r="482">
          <cell r="Q482">
            <v>0.22857142857142856</v>
          </cell>
          <cell r="R482">
            <v>0.99940828402366866</v>
          </cell>
          <cell r="S482">
            <v>0</v>
          </cell>
          <cell r="T482">
            <v>1</v>
          </cell>
          <cell r="U482">
            <v>0.5</v>
          </cell>
          <cell r="V482">
            <v>0</v>
          </cell>
        </row>
        <row r="483">
          <cell r="Q483">
            <v>0.02</v>
          </cell>
          <cell r="R483">
            <v>0.99940828402366866</v>
          </cell>
          <cell r="S483">
            <v>0</v>
          </cell>
          <cell r="T483">
            <v>0</v>
          </cell>
          <cell r="U483">
            <v>0.5</v>
          </cell>
          <cell r="V483">
            <v>0.75</v>
          </cell>
        </row>
        <row r="484">
          <cell r="Q484">
            <v>0.10285714285714286</v>
          </cell>
          <cell r="R484">
            <v>0.99940828402366866</v>
          </cell>
          <cell r="S484">
            <v>0</v>
          </cell>
          <cell r="T484">
            <v>1</v>
          </cell>
          <cell r="U484">
            <v>0.75</v>
          </cell>
          <cell r="V484">
            <v>0</v>
          </cell>
        </row>
        <row r="485">
          <cell r="Q485">
            <v>0.21428571428571427</v>
          </cell>
          <cell r="R485">
            <v>0.99940828402366866</v>
          </cell>
          <cell r="S485">
            <v>0</v>
          </cell>
          <cell r="T485">
            <v>0.25305523871598501</v>
          </cell>
          <cell r="U485">
            <v>0.75</v>
          </cell>
          <cell r="V485">
            <v>2.5256640052142742E-2</v>
          </cell>
        </row>
        <row r="486">
          <cell r="Q486">
            <v>0.22857142857142856</v>
          </cell>
          <cell r="R486">
            <v>0.99940828402366866</v>
          </cell>
          <cell r="S486">
            <v>0</v>
          </cell>
          <cell r="T486">
            <v>0.99275362318840576</v>
          </cell>
          <cell r="U486">
            <v>0.5</v>
          </cell>
          <cell r="V486">
            <v>0</v>
          </cell>
        </row>
        <row r="487">
          <cell r="Q487">
            <v>0.47714285714285715</v>
          </cell>
          <cell r="R487">
            <v>0.99940828402366866</v>
          </cell>
          <cell r="S487">
            <v>0</v>
          </cell>
          <cell r="T487">
            <v>1</v>
          </cell>
          <cell r="U487">
            <v>0</v>
          </cell>
          <cell r="V487">
            <v>0</v>
          </cell>
        </row>
        <row r="488">
          <cell r="Q488">
            <v>0.2257142857142857</v>
          </cell>
          <cell r="R488">
            <v>0.99940828402366866</v>
          </cell>
          <cell r="S488">
            <v>1</v>
          </cell>
          <cell r="T488">
            <v>0</v>
          </cell>
          <cell r="U488">
            <v>0.5</v>
          </cell>
          <cell r="V488">
            <v>0</v>
          </cell>
        </row>
        <row r="489">
          <cell r="Q489">
            <v>0.2257142857142857</v>
          </cell>
          <cell r="R489">
            <v>0.99940828402366866</v>
          </cell>
          <cell r="S489">
            <v>1</v>
          </cell>
          <cell r="T489">
            <v>0</v>
          </cell>
          <cell r="U489">
            <v>0.5</v>
          </cell>
          <cell r="V489">
            <v>0</v>
          </cell>
        </row>
        <row r="490">
          <cell r="Q490">
            <v>0.1</v>
          </cell>
          <cell r="R490">
            <v>0.99940828402366866</v>
          </cell>
          <cell r="S490">
            <v>0</v>
          </cell>
          <cell r="T490">
            <v>1</v>
          </cell>
          <cell r="U490">
            <v>0.75</v>
          </cell>
          <cell r="V490">
            <v>0</v>
          </cell>
        </row>
        <row r="491">
          <cell r="Q491">
            <v>0.3914285714285714</v>
          </cell>
          <cell r="R491">
            <v>0.99940828402366866</v>
          </cell>
          <cell r="S491">
            <v>0</v>
          </cell>
          <cell r="T491">
            <v>0</v>
          </cell>
          <cell r="U491">
            <v>0.5</v>
          </cell>
          <cell r="V491">
            <v>0</v>
          </cell>
        </row>
        <row r="492">
          <cell r="Q492">
            <v>0.14000000000000001</v>
          </cell>
          <cell r="R492">
            <v>0.99940828402366866</v>
          </cell>
          <cell r="S492">
            <v>0</v>
          </cell>
          <cell r="T492">
            <v>0</v>
          </cell>
          <cell r="U492">
            <v>1</v>
          </cell>
          <cell r="V492">
            <v>0</v>
          </cell>
        </row>
        <row r="493">
          <cell r="Q493">
            <v>0.14000000000000001</v>
          </cell>
          <cell r="R493">
            <v>0.99940828402366866</v>
          </cell>
          <cell r="S493">
            <v>0</v>
          </cell>
          <cell r="T493">
            <v>0</v>
          </cell>
          <cell r="U493">
            <v>1</v>
          </cell>
          <cell r="V493">
            <v>0</v>
          </cell>
        </row>
        <row r="494">
          <cell r="Q494">
            <v>0.22285714285714286</v>
          </cell>
          <cell r="R494">
            <v>0.99940828402366866</v>
          </cell>
          <cell r="S494">
            <v>1</v>
          </cell>
          <cell r="T494">
            <v>6.7219359175442527E-4</v>
          </cell>
          <cell r="U494">
            <v>0.5</v>
          </cell>
          <cell r="V494">
            <v>0</v>
          </cell>
        </row>
        <row r="495">
          <cell r="Q495">
            <v>2.8571428571428571E-2</v>
          </cell>
          <cell r="R495">
            <v>0.99940828402366866</v>
          </cell>
          <cell r="S495">
            <v>0</v>
          </cell>
          <cell r="T495">
            <v>0.97385620915032678</v>
          </cell>
          <cell r="U495">
            <v>0.75</v>
          </cell>
          <cell r="V495">
            <v>0.14705882352941177</v>
          </cell>
        </row>
        <row r="496">
          <cell r="Q496">
            <v>9.7142857142857142E-2</v>
          </cell>
          <cell r="R496">
            <v>0.99940828402366866</v>
          </cell>
          <cell r="S496">
            <v>0</v>
          </cell>
          <cell r="T496">
            <v>1</v>
          </cell>
          <cell r="U496">
            <v>0.75</v>
          </cell>
          <cell r="V496">
            <v>0</v>
          </cell>
        </row>
        <row r="497">
          <cell r="Q497">
            <v>0.18</v>
          </cell>
          <cell r="R497">
            <v>0.99940828402366866</v>
          </cell>
          <cell r="S497">
            <v>0</v>
          </cell>
          <cell r="T497">
            <v>0.48283333333333334</v>
          </cell>
          <cell r="U497">
            <v>0.75</v>
          </cell>
          <cell r="V497">
            <v>3.375E-3</v>
          </cell>
        </row>
        <row r="498">
          <cell r="Q498">
            <v>0.13714285714285715</v>
          </cell>
          <cell r="R498">
            <v>0.99940828402366866</v>
          </cell>
          <cell r="S498">
            <v>0</v>
          </cell>
          <cell r="T498">
            <v>0</v>
          </cell>
          <cell r="U498">
            <v>1</v>
          </cell>
          <cell r="V498">
            <v>0</v>
          </cell>
        </row>
        <row r="499">
          <cell r="Q499">
            <v>0.51142857142857145</v>
          </cell>
          <cell r="R499">
            <v>0.99940828402366866</v>
          </cell>
          <cell r="S499">
            <v>0</v>
          </cell>
          <cell r="T499">
            <v>0</v>
          </cell>
          <cell r="U499">
            <v>0.25</v>
          </cell>
          <cell r="V499">
            <v>0</v>
          </cell>
        </row>
        <row r="500">
          <cell r="Q500">
            <v>0.26</v>
          </cell>
          <cell r="R500">
            <v>0.99940828402366866</v>
          </cell>
          <cell r="S500">
            <v>0</v>
          </cell>
          <cell r="T500">
            <v>0</v>
          </cell>
          <cell r="U500">
            <v>0.75</v>
          </cell>
          <cell r="V500">
            <v>0</v>
          </cell>
        </row>
        <row r="501">
          <cell r="Q501">
            <v>0.34285714285714286</v>
          </cell>
          <cell r="R501">
            <v>0.99940828402366866</v>
          </cell>
          <cell r="S501">
            <v>1</v>
          </cell>
          <cell r="T501">
            <v>0</v>
          </cell>
          <cell r="U501">
            <v>0.25</v>
          </cell>
          <cell r="V501">
            <v>0</v>
          </cell>
        </row>
        <row r="502">
          <cell r="Q502">
            <v>9.4285714285714292E-2</v>
          </cell>
          <cell r="R502">
            <v>0.99940828402366866</v>
          </cell>
          <cell r="S502">
            <v>0</v>
          </cell>
          <cell r="T502">
            <v>0</v>
          </cell>
          <cell r="U502">
            <v>0.75</v>
          </cell>
          <cell r="V502">
            <v>0.33003206942086399</v>
          </cell>
        </row>
        <row r="503">
          <cell r="Q503">
            <v>0.13428571428571429</v>
          </cell>
          <cell r="R503">
            <v>0.99940828402366866</v>
          </cell>
          <cell r="S503">
            <v>0</v>
          </cell>
          <cell r="T503">
            <v>0</v>
          </cell>
          <cell r="U503">
            <v>1</v>
          </cell>
          <cell r="V503">
            <v>0</v>
          </cell>
        </row>
        <row r="504">
          <cell r="Q504">
            <v>0.13142857142857142</v>
          </cell>
          <cell r="R504">
            <v>0.99940828402366866</v>
          </cell>
          <cell r="S504">
            <v>0</v>
          </cell>
          <cell r="T504">
            <v>0</v>
          </cell>
          <cell r="U504">
            <v>1</v>
          </cell>
          <cell r="V504">
            <v>0</v>
          </cell>
        </row>
        <row r="505">
          <cell r="Q505">
            <v>8.8571428571428565E-2</v>
          </cell>
          <cell r="R505">
            <v>0.99940828402366866</v>
          </cell>
          <cell r="S505">
            <v>0</v>
          </cell>
          <cell r="T505">
            <v>1</v>
          </cell>
          <cell r="U505">
            <v>0.75</v>
          </cell>
          <cell r="V505">
            <v>0</v>
          </cell>
        </row>
        <row r="506">
          <cell r="Q506">
            <v>0.38</v>
          </cell>
          <cell r="R506">
            <v>0.99940828402366866</v>
          </cell>
          <cell r="S506">
            <v>0</v>
          </cell>
          <cell r="T506">
            <v>0</v>
          </cell>
          <cell r="U506">
            <v>0.5</v>
          </cell>
          <cell r="V506">
            <v>0</v>
          </cell>
        </row>
        <row r="507">
          <cell r="Q507">
            <v>0.12857142857142856</v>
          </cell>
          <cell r="R507">
            <v>0.99940828402366866</v>
          </cell>
          <cell r="S507">
            <v>0</v>
          </cell>
          <cell r="T507">
            <v>6.5992698680146025E-3</v>
          </cell>
          <cell r="U507">
            <v>1</v>
          </cell>
          <cell r="V507">
            <v>0</v>
          </cell>
        </row>
        <row r="508">
          <cell r="Q508">
            <v>0.25428571428571428</v>
          </cell>
          <cell r="R508">
            <v>0.99940828402366866</v>
          </cell>
          <cell r="S508">
            <v>0</v>
          </cell>
          <cell r="T508">
            <v>0</v>
          </cell>
          <cell r="U508">
            <v>0.75</v>
          </cell>
          <cell r="V508">
            <v>0</v>
          </cell>
        </row>
        <row r="509">
          <cell r="Q509">
            <v>0.25428571428571428</v>
          </cell>
          <cell r="R509">
            <v>0.99940828402366866</v>
          </cell>
          <cell r="S509">
            <v>0</v>
          </cell>
          <cell r="T509">
            <v>0</v>
          </cell>
          <cell r="U509">
            <v>0.75</v>
          </cell>
          <cell r="V509">
            <v>0</v>
          </cell>
        </row>
        <row r="510">
          <cell r="Q510">
            <v>0.25428571428571428</v>
          </cell>
          <cell r="R510">
            <v>0.99940828402366866</v>
          </cell>
          <cell r="S510">
            <v>0</v>
          </cell>
          <cell r="T510">
            <v>0</v>
          </cell>
          <cell r="U510">
            <v>0.75</v>
          </cell>
          <cell r="V510">
            <v>0</v>
          </cell>
        </row>
        <row r="511">
          <cell r="Q511">
            <v>0.21142857142857144</v>
          </cell>
          <cell r="R511">
            <v>0.99940828402366866</v>
          </cell>
          <cell r="S511">
            <v>1</v>
          </cell>
          <cell r="T511">
            <v>0</v>
          </cell>
          <cell r="U511">
            <v>0.5</v>
          </cell>
          <cell r="V511">
            <v>0</v>
          </cell>
        </row>
        <row r="512">
          <cell r="Q512">
            <v>0.21142857142857144</v>
          </cell>
          <cell r="R512">
            <v>0.99940828402366866</v>
          </cell>
          <cell r="S512">
            <v>0</v>
          </cell>
          <cell r="T512">
            <v>1</v>
          </cell>
          <cell r="U512">
            <v>0.5</v>
          </cell>
          <cell r="V512">
            <v>0</v>
          </cell>
        </row>
        <row r="513">
          <cell r="Q513">
            <v>0.21142857142857144</v>
          </cell>
          <cell r="R513">
            <v>0.99940828402366866</v>
          </cell>
          <cell r="S513">
            <v>0</v>
          </cell>
          <cell r="T513">
            <v>1</v>
          </cell>
          <cell r="U513">
            <v>0.5</v>
          </cell>
          <cell r="V513">
            <v>0</v>
          </cell>
        </row>
        <row r="514">
          <cell r="Q514">
            <v>0.37714285714285717</v>
          </cell>
          <cell r="R514">
            <v>0.99940828402366866</v>
          </cell>
          <cell r="S514">
            <v>0</v>
          </cell>
          <cell r="T514">
            <v>0</v>
          </cell>
          <cell r="U514">
            <v>0.5</v>
          </cell>
          <cell r="V514">
            <v>0</v>
          </cell>
        </row>
        <row r="515">
          <cell r="Q515">
            <v>5.1428571428571428E-2</v>
          </cell>
          <cell r="R515">
            <v>0.99940828402366866</v>
          </cell>
          <cell r="S515">
            <v>1</v>
          </cell>
          <cell r="T515">
            <v>0</v>
          </cell>
          <cell r="U515">
            <v>0.75</v>
          </cell>
          <cell r="V515">
            <v>6.6957568462232928E-2</v>
          </cell>
        </row>
        <row r="516">
          <cell r="Q516">
            <v>0.25142857142857145</v>
          </cell>
          <cell r="R516">
            <v>0.99940828402366866</v>
          </cell>
          <cell r="S516">
            <v>0</v>
          </cell>
          <cell r="T516">
            <v>0</v>
          </cell>
          <cell r="U516">
            <v>0.75</v>
          </cell>
          <cell r="V516">
            <v>0</v>
          </cell>
        </row>
        <row r="517">
          <cell r="Q517">
            <v>7.4285714285714288E-2</v>
          </cell>
          <cell r="R517">
            <v>0.99940828402366866</v>
          </cell>
          <cell r="S517">
            <v>0</v>
          </cell>
          <cell r="T517">
            <v>0</v>
          </cell>
          <cell r="U517">
            <v>0.75</v>
          </cell>
          <cell r="V517">
            <v>0.35362095531587057</v>
          </cell>
        </row>
        <row r="518">
          <cell r="Q518">
            <v>0.3342857142857143</v>
          </cell>
          <cell r="R518">
            <v>0.99940828402366866</v>
          </cell>
          <cell r="S518">
            <v>0</v>
          </cell>
          <cell r="T518">
            <v>1</v>
          </cell>
          <cell r="U518">
            <v>0.25</v>
          </cell>
          <cell r="V518">
            <v>0</v>
          </cell>
        </row>
        <row r="519">
          <cell r="Q519">
            <v>0.10857142857142857</v>
          </cell>
          <cell r="R519">
            <v>0.99940828402366866</v>
          </cell>
          <cell r="S519">
            <v>0</v>
          </cell>
          <cell r="T519">
            <v>0.10386029411764706</v>
          </cell>
          <cell r="U519">
            <v>1</v>
          </cell>
          <cell r="V519">
            <v>0</v>
          </cell>
        </row>
        <row r="520">
          <cell r="Q520">
            <v>0.12571428571428572</v>
          </cell>
          <cell r="R520">
            <v>0.99940828402366866</v>
          </cell>
          <cell r="S520">
            <v>0</v>
          </cell>
          <cell r="T520">
            <v>0</v>
          </cell>
          <cell r="U520">
            <v>1</v>
          </cell>
          <cell r="V520">
            <v>0</v>
          </cell>
        </row>
        <row r="521">
          <cell r="Q521">
            <v>0.11714285714285715</v>
          </cell>
          <cell r="R521">
            <v>0.99940828402366866</v>
          </cell>
          <cell r="S521">
            <v>0</v>
          </cell>
          <cell r="T521">
            <v>0</v>
          </cell>
          <cell r="U521">
            <v>0.5</v>
          </cell>
          <cell r="V521">
            <v>0.51701183431952658</v>
          </cell>
        </row>
        <row r="522">
          <cell r="Q522">
            <v>0.20857142857142857</v>
          </cell>
          <cell r="R522">
            <v>0.99940828402366866</v>
          </cell>
          <cell r="S522">
            <v>0</v>
          </cell>
          <cell r="T522">
            <v>1</v>
          </cell>
          <cell r="U522">
            <v>0.5</v>
          </cell>
          <cell r="V522">
            <v>0</v>
          </cell>
        </row>
        <row r="523">
          <cell r="Q523">
            <v>0.20857142857142857</v>
          </cell>
          <cell r="R523">
            <v>0.99940828402366866</v>
          </cell>
          <cell r="S523">
            <v>0</v>
          </cell>
          <cell r="T523">
            <v>1</v>
          </cell>
          <cell r="U523">
            <v>0.5</v>
          </cell>
          <cell r="V523">
            <v>0</v>
          </cell>
        </row>
        <row r="524">
          <cell r="Q524">
            <v>0.37428571428571428</v>
          </cell>
          <cell r="R524">
            <v>0.99940828402366866</v>
          </cell>
          <cell r="S524">
            <v>0</v>
          </cell>
          <cell r="T524">
            <v>1.7015484090522376E-3</v>
          </cell>
          <cell r="U524">
            <v>0.5</v>
          </cell>
          <cell r="V524">
            <v>0</v>
          </cell>
        </row>
        <row r="525">
          <cell r="Q525">
            <v>0.24857142857142858</v>
          </cell>
          <cell r="R525">
            <v>0.99940828402366866</v>
          </cell>
          <cell r="S525">
            <v>0</v>
          </cell>
          <cell r="T525">
            <v>0</v>
          </cell>
          <cell r="U525">
            <v>0.75</v>
          </cell>
          <cell r="V525">
            <v>0</v>
          </cell>
        </row>
        <row r="526">
          <cell r="Q526">
            <v>0.24857142857142858</v>
          </cell>
          <cell r="R526">
            <v>0.99940828402366866</v>
          </cell>
          <cell r="S526">
            <v>0</v>
          </cell>
          <cell r="T526">
            <v>0</v>
          </cell>
          <cell r="U526">
            <v>0.75</v>
          </cell>
          <cell r="V526">
            <v>0</v>
          </cell>
        </row>
        <row r="527">
          <cell r="Q527">
            <v>0.33142857142857141</v>
          </cell>
          <cell r="R527">
            <v>0.99940828402366866</v>
          </cell>
          <cell r="S527">
            <v>1</v>
          </cell>
          <cell r="T527">
            <v>0</v>
          </cell>
          <cell r="U527">
            <v>0.25</v>
          </cell>
          <cell r="V527">
            <v>0</v>
          </cell>
        </row>
        <row r="528">
          <cell r="Q528">
            <v>0.24571428571428572</v>
          </cell>
          <cell r="R528">
            <v>0.99940828402366866</v>
          </cell>
          <cell r="S528">
            <v>0</v>
          </cell>
          <cell r="T528">
            <v>0</v>
          </cell>
          <cell r="U528">
            <v>0.75</v>
          </cell>
          <cell r="V528">
            <v>0</v>
          </cell>
        </row>
        <row r="529">
          <cell r="Q529">
            <v>0.36857142857142855</v>
          </cell>
          <cell r="R529">
            <v>0.99940828402366866</v>
          </cell>
          <cell r="S529">
            <v>0</v>
          </cell>
          <cell r="T529">
            <v>0</v>
          </cell>
          <cell r="U529">
            <v>0.5</v>
          </cell>
          <cell r="V529">
            <v>0</v>
          </cell>
        </row>
        <row r="530">
          <cell r="Q530">
            <v>0.24</v>
          </cell>
          <cell r="R530">
            <v>0.99940828402366866</v>
          </cell>
          <cell r="S530">
            <v>0</v>
          </cell>
          <cell r="T530">
            <v>1.2115563839701771E-2</v>
          </cell>
          <cell r="U530">
            <v>0.75</v>
          </cell>
          <cell r="V530">
            <v>0</v>
          </cell>
        </row>
        <row r="531">
          <cell r="Q531">
            <v>0.32571428571428573</v>
          </cell>
          <cell r="R531">
            <v>0.99940828402366866</v>
          </cell>
          <cell r="S531">
            <v>0</v>
          </cell>
          <cell r="T531">
            <v>0.99401794616151551</v>
          </cell>
          <cell r="U531">
            <v>0.25</v>
          </cell>
          <cell r="V531">
            <v>0</v>
          </cell>
        </row>
        <row r="532">
          <cell r="Q532">
            <v>0.18571428571428572</v>
          </cell>
          <cell r="R532">
            <v>0.99940828402366866</v>
          </cell>
          <cell r="S532">
            <v>0</v>
          </cell>
          <cell r="T532">
            <v>0.33129289556668523</v>
          </cell>
          <cell r="U532">
            <v>0.75</v>
          </cell>
          <cell r="V532">
            <v>0</v>
          </cell>
        </row>
        <row r="533">
          <cell r="Q533">
            <v>0.23714285714285716</v>
          </cell>
          <cell r="R533">
            <v>0.99940828402366866</v>
          </cell>
          <cell r="S533">
            <v>0</v>
          </cell>
          <cell r="T533">
            <v>0.76951759496620831</v>
          </cell>
          <cell r="U533">
            <v>0.5</v>
          </cell>
          <cell r="V533">
            <v>0</v>
          </cell>
        </row>
        <row r="534">
          <cell r="Q534">
            <v>0.24</v>
          </cell>
          <cell r="R534">
            <v>0.99940828402366866</v>
          </cell>
          <cell r="S534">
            <v>0</v>
          </cell>
          <cell r="T534">
            <v>0</v>
          </cell>
          <cell r="U534">
            <v>0.75</v>
          </cell>
          <cell r="V534">
            <v>0</v>
          </cell>
        </row>
        <row r="535">
          <cell r="Q535">
            <v>0.19714285714285715</v>
          </cell>
          <cell r="R535">
            <v>0.99940828402366866</v>
          </cell>
          <cell r="S535">
            <v>0</v>
          </cell>
          <cell r="T535">
            <v>1</v>
          </cell>
          <cell r="U535">
            <v>0.5</v>
          </cell>
          <cell r="V535">
            <v>0</v>
          </cell>
        </row>
        <row r="536">
          <cell r="Q536">
            <v>0.19714285714285715</v>
          </cell>
          <cell r="R536">
            <v>0.99940828402366866</v>
          </cell>
          <cell r="S536">
            <v>1</v>
          </cell>
          <cell r="T536">
            <v>0</v>
          </cell>
          <cell r="U536">
            <v>0.5</v>
          </cell>
          <cell r="V536">
            <v>0</v>
          </cell>
        </row>
        <row r="537">
          <cell r="Q537">
            <v>0.19714285714285715</v>
          </cell>
          <cell r="R537">
            <v>0.99940828402366866</v>
          </cell>
          <cell r="S537">
            <v>1</v>
          </cell>
          <cell r="T537">
            <v>0</v>
          </cell>
          <cell r="U537">
            <v>0.5</v>
          </cell>
          <cell r="V537">
            <v>0</v>
          </cell>
        </row>
        <row r="538">
          <cell r="Q538">
            <v>0.19714285714285715</v>
          </cell>
          <cell r="R538">
            <v>0.99940828402366866</v>
          </cell>
          <cell r="S538">
            <v>1</v>
          </cell>
          <cell r="T538">
            <v>0</v>
          </cell>
          <cell r="U538">
            <v>0.5</v>
          </cell>
          <cell r="V538">
            <v>0</v>
          </cell>
        </row>
        <row r="539">
          <cell r="Q539">
            <v>0.19714285714285715</v>
          </cell>
          <cell r="R539">
            <v>0.99940828402366866</v>
          </cell>
          <cell r="S539">
            <v>1</v>
          </cell>
          <cell r="T539">
            <v>0</v>
          </cell>
          <cell r="U539">
            <v>0.5</v>
          </cell>
          <cell r="V539">
            <v>0</v>
          </cell>
        </row>
        <row r="540">
          <cell r="Q540">
            <v>0.19714285714285715</v>
          </cell>
          <cell r="R540">
            <v>0.99940828402366866</v>
          </cell>
          <cell r="S540">
            <v>1</v>
          </cell>
          <cell r="T540">
            <v>0</v>
          </cell>
          <cell r="U540">
            <v>0.5</v>
          </cell>
          <cell r="V540">
            <v>0</v>
          </cell>
        </row>
        <row r="541">
          <cell r="Q541">
            <v>0.19714285714285715</v>
          </cell>
          <cell r="R541">
            <v>0.99940828402366866</v>
          </cell>
          <cell r="S541">
            <v>1</v>
          </cell>
          <cell r="T541">
            <v>0</v>
          </cell>
          <cell r="U541">
            <v>0.5</v>
          </cell>
          <cell r="V541">
            <v>0</v>
          </cell>
        </row>
        <row r="542">
          <cell r="Q542">
            <v>0.19714285714285715</v>
          </cell>
          <cell r="R542">
            <v>0.99940828402366866</v>
          </cell>
          <cell r="S542">
            <v>1</v>
          </cell>
          <cell r="T542">
            <v>0</v>
          </cell>
          <cell r="U542">
            <v>0.5</v>
          </cell>
          <cell r="V542">
            <v>0</v>
          </cell>
        </row>
        <row r="543">
          <cell r="Q543">
            <v>0.19714285714285715</v>
          </cell>
          <cell r="R543">
            <v>0.99940828402366866</v>
          </cell>
          <cell r="S543">
            <v>1</v>
          </cell>
          <cell r="T543">
            <v>0</v>
          </cell>
          <cell r="U543">
            <v>0.5</v>
          </cell>
          <cell r="V543">
            <v>0</v>
          </cell>
        </row>
        <row r="544">
          <cell r="Q544">
            <v>0.19714285714285715</v>
          </cell>
          <cell r="R544">
            <v>0.99940828402366866</v>
          </cell>
          <cell r="S544">
            <v>1</v>
          </cell>
          <cell r="T544">
            <v>0</v>
          </cell>
          <cell r="U544">
            <v>0.5</v>
          </cell>
          <cell r="V544">
            <v>0</v>
          </cell>
        </row>
        <row r="545">
          <cell r="Q545">
            <v>0.13714285714285715</v>
          </cell>
          <cell r="R545">
            <v>0.99940828402366866</v>
          </cell>
          <cell r="S545">
            <v>0</v>
          </cell>
          <cell r="T545">
            <v>0</v>
          </cell>
          <cell r="U545">
            <v>0.25</v>
          </cell>
          <cell r="V545">
            <v>0.703125</v>
          </cell>
        </row>
        <row r="546">
          <cell r="Q546">
            <v>0.28857142857142859</v>
          </cell>
          <cell r="R546">
            <v>0.99940828402366866</v>
          </cell>
          <cell r="S546">
            <v>0</v>
          </cell>
          <cell r="T546">
            <v>0.4502054628958182</v>
          </cell>
          <cell r="U546">
            <v>0.5</v>
          </cell>
          <cell r="V546">
            <v>0</v>
          </cell>
        </row>
        <row r="547">
          <cell r="Q547">
            <v>0.36285714285714288</v>
          </cell>
          <cell r="R547">
            <v>0.99940828402366866</v>
          </cell>
          <cell r="S547">
            <v>0</v>
          </cell>
          <cell r="T547">
            <v>0</v>
          </cell>
          <cell r="U547">
            <v>0.5</v>
          </cell>
          <cell r="V547">
            <v>0</v>
          </cell>
        </row>
        <row r="548">
          <cell r="Q548">
            <v>0.36285714285714288</v>
          </cell>
          <cell r="R548">
            <v>0.99940828402366866</v>
          </cell>
          <cell r="S548">
            <v>0</v>
          </cell>
          <cell r="T548">
            <v>0</v>
          </cell>
          <cell r="U548">
            <v>0.5</v>
          </cell>
          <cell r="V548">
            <v>0</v>
          </cell>
        </row>
        <row r="549">
          <cell r="Q549">
            <v>0.12285714285714286</v>
          </cell>
          <cell r="R549">
            <v>0.99940828402366866</v>
          </cell>
          <cell r="S549">
            <v>0</v>
          </cell>
          <cell r="T549">
            <v>0</v>
          </cell>
          <cell r="U549">
            <v>0.75</v>
          </cell>
          <cell r="V549">
            <v>0.22898432729493182</v>
          </cell>
        </row>
        <row r="550">
          <cell r="Q550">
            <v>0.23714285714285716</v>
          </cell>
          <cell r="R550">
            <v>0.99940828402366866</v>
          </cell>
          <cell r="S550">
            <v>0</v>
          </cell>
          <cell r="T550">
            <v>0</v>
          </cell>
          <cell r="U550">
            <v>0.75</v>
          </cell>
          <cell r="V550">
            <v>0</v>
          </cell>
        </row>
        <row r="551">
          <cell r="Q551">
            <v>0.10571428571428572</v>
          </cell>
          <cell r="R551">
            <v>0.99940828402366866</v>
          </cell>
          <cell r="S551">
            <v>0</v>
          </cell>
          <cell r="T551">
            <v>0.78826237054085158</v>
          </cell>
          <cell r="U551">
            <v>0.75</v>
          </cell>
          <cell r="V551">
            <v>0</v>
          </cell>
        </row>
        <row r="552">
          <cell r="Q552">
            <v>0.14000000000000001</v>
          </cell>
          <cell r="R552">
            <v>0.99940828402366866</v>
          </cell>
          <cell r="S552">
            <v>0</v>
          </cell>
          <cell r="T552">
            <v>0</v>
          </cell>
          <cell r="U552">
            <v>0.5</v>
          </cell>
          <cell r="V552">
            <v>0.44392458100558657</v>
          </cell>
        </row>
        <row r="553">
          <cell r="Q553">
            <v>0.18857142857142858</v>
          </cell>
          <cell r="R553">
            <v>0.99940828402366866</v>
          </cell>
          <cell r="S553">
            <v>0</v>
          </cell>
          <cell r="T553">
            <v>0</v>
          </cell>
          <cell r="U553">
            <v>0.5</v>
          </cell>
          <cell r="V553">
            <v>0.34579986613119146</v>
          </cell>
        </row>
        <row r="554">
          <cell r="Q554">
            <v>0.11142857142857143</v>
          </cell>
          <cell r="R554">
            <v>0.99940828402366866</v>
          </cell>
          <cell r="S554">
            <v>0</v>
          </cell>
          <cell r="T554">
            <v>0</v>
          </cell>
          <cell r="U554">
            <v>1</v>
          </cell>
          <cell r="V554">
            <v>0</v>
          </cell>
        </row>
        <row r="555">
          <cell r="Q555">
            <v>0.3914285714285714</v>
          </cell>
          <cell r="R555">
            <v>0.99940828402366866</v>
          </cell>
          <cell r="S555">
            <v>0</v>
          </cell>
          <cell r="T555">
            <v>0.56720890410958902</v>
          </cell>
          <cell r="U555">
            <v>0.25</v>
          </cell>
          <cell r="V555">
            <v>0</v>
          </cell>
        </row>
        <row r="556">
          <cell r="Q556">
            <v>0.11428571428571428</v>
          </cell>
          <cell r="R556">
            <v>0.99940828402366866</v>
          </cell>
          <cell r="S556">
            <v>0</v>
          </cell>
          <cell r="T556">
            <v>0.72591539281905437</v>
          </cell>
          <cell r="U556">
            <v>0.75</v>
          </cell>
          <cell r="V556">
            <v>0</v>
          </cell>
        </row>
        <row r="557">
          <cell r="Q557">
            <v>6.8571428571428575E-2</v>
          </cell>
          <cell r="R557">
            <v>0.99940828402366866</v>
          </cell>
          <cell r="S557">
            <v>0</v>
          </cell>
          <cell r="T557">
            <v>1</v>
          </cell>
          <cell r="U557">
            <v>0.75</v>
          </cell>
          <cell r="V557">
            <v>0</v>
          </cell>
        </row>
        <row r="558">
          <cell r="Q558">
            <v>0.23428571428571429</v>
          </cell>
          <cell r="R558">
            <v>0.99940828402366866</v>
          </cell>
          <cell r="S558">
            <v>0</v>
          </cell>
          <cell r="T558">
            <v>0</v>
          </cell>
          <cell r="U558">
            <v>0.75</v>
          </cell>
          <cell r="V558">
            <v>0</v>
          </cell>
        </row>
        <row r="559">
          <cell r="Q559">
            <v>0.10857142857142857</v>
          </cell>
          <cell r="R559">
            <v>0.99940828402366866</v>
          </cell>
          <cell r="S559">
            <v>0</v>
          </cell>
          <cell r="T559">
            <v>0</v>
          </cell>
          <cell r="U559">
            <v>1</v>
          </cell>
          <cell r="V559">
            <v>0</v>
          </cell>
        </row>
        <row r="560">
          <cell r="Q560">
            <v>6.5714285714285711E-2</v>
          </cell>
          <cell r="R560">
            <v>0.99940828402366866</v>
          </cell>
          <cell r="S560">
            <v>0</v>
          </cell>
          <cell r="T560">
            <v>1</v>
          </cell>
          <cell r="U560">
            <v>0</v>
          </cell>
          <cell r="V560">
            <v>0.75</v>
          </cell>
        </row>
        <row r="561">
          <cell r="Q561">
            <v>0.10571428571428572</v>
          </cell>
          <cell r="R561">
            <v>0.99940828402366866</v>
          </cell>
          <cell r="S561">
            <v>0</v>
          </cell>
          <cell r="T561">
            <v>0</v>
          </cell>
          <cell r="U561">
            <v>1</v>
          </cell>
          <cell r="V561">
            <v>0</v>
          </cell>
        </row>
        <row r="562">
          <cell r="Q562">
            <v>0.48</v>
          </cell>
          <cell r="R562">
            <v>0.99940828402366866</v>
          </cell>
          <cell r="S562">
            <v>0</v>
          </cell>
          <cell r="T562">
            <v>0</v>
          </cell>
          <cell r="U562">
            <v>0.25</v>
          </cell>
          <cell r="V562">
            <v>0</v>
          </cell>
        </row>
        <row r="563">
          <cell r="Q563">
            <v>6.2857142857142861E-2</v>
          </cell>
          <cell r="R563">
            <v>0.99940828402366866</v>
          </cell>
          <cell r="S563">
            <v>0</v>
          </cell>
          <cell r="T563">
            <v>1</v>
          </cell>
          <cell r="U563">
            <v>0.75</v>
          </cell>
          <cell r="V563">
            <v>0</v>
          </cell>
        </row>
        <row r="564">
          <cell r="Q564">
            <v>0.22857142857142856</v>
          </cell>
          <cell r="R564">
            <v>0.99940828402366866</v>
          </cell>
          <cell r="S564">
            <v>0</v>
          </cell>
          <cell r="T564">
            <v>0</v>
          </cell>
          <cell r="U564">
            <v>0.75</v>
          </cell>
          <cell r="V564">
            <v>0</v>
          </cell>
        </row>
        <row r="565">
          <cell r="Q565">
            <v>0.22857142857142856</v>
          </cell>
          <cell r="R565">
            <v>0.99940828402366866</v>
          </cell>
          <cell r="S565">
            <v>0</v>
          </cell>
          <cell r="T565">
            <v>0</v>
          </cell>
          <cell r="U565">
            <v>0.75</v>
          </cell>
          <cell r="V565">
            <v>0</v>
          </cell>
        </row>
        <row r="566">
          <cell r="Q566">
            <v>0.22857142857142856</v>
          </cell>
          <cell r="R566">
            <v>0.99940828402366866</v>
          </cell>
          <cell r="S566">
            <v>0</v>
          </cell>
          <cell r="T566">
            <v>0</v>
          </cell>
          <cell r="U566">
            <v>0.75</v>
          </cell>
          <cell r="V566">
            <v>0</v>
          </cell>
        </row>
        <row r="567">
          <cell r="Q567">
            <v>0.22857142857142856</v>
          </cell>
          <cell r="R567">
            <v>0.99940828402366866</v>
          </cell>
          <cell r="S567">
            <v>0</v>
          </cell>
          <cell r="T567">
            <v>0</v>
          </cell>
          <cell r="U567">
            <v>0.75</v>
          </cell>
          <cell r="V567">
            <v>0</v>
          </cell>
        </row>
        <row r="568">
          <cell r="Q568">
            <v>0.16</v>
          </cell>
          <cell r="R568">
            <v>0.99940828402366866</v>
          </cell>
          <cell r="S568">
            <v>0</v>
          </cell>
          <cell r="T568">
            <v>0.40806841420338352</v>
          </cell>
          <cell r="U568">
            <v>0.75</v>
          </cell>
          <cell r="V568">
            <v>0</v>
          </cell>
        </row>
        <row r="569">
          <cell r="Q569">
            <v>0.10285714285714286</v>
          </cell>
          <cell r="R569">
            <v>0.99940828402366866</v>
          </cell>
          <cell r="S569">
            <v>0</v>
          </cell>
          <cell r="T569">
            <v>0</v>
          </cell>
          <cell r="U569">
            <v>1</v>
          </cell>
          <cell r="V569">
            <v>0</v>
          </cell>
        </row>
        <row r="570">
          <cell r="Q570">
            <v>0.10285714285714286</v>
          </cell>
          <cell r="R570">
            <v>0.99940828402366866</v>
          </cell>
          <cell r="S570">
            <v>0</v>
          </cell>
          <cell r="T570">
            <v>0</v>
          </cell>
          <cell r="U570">
            <v>1</v>
          </cell>
          <cell r="V570">
            <v>0</v>
          </cell>
        </row>
        <row r="571">
          <cell r="Q571">
            <v>0.10285714285714286</v>
          </cell>
          <cell r="R571">
            <v>0.99940828402366866</v>
          </cell>
          <cell r="S571">
            <v>0</v>
          </cell>
          <cell r="T571">
            <v>0</v>
          </cell>
          <cell r="U571">
            <v>1</v>
          </cell>
          <cell r="V571">
            <v>0</v>
          </cell>
        </row>
        <row r="572">
          <cell r="Q572">
            <v>0.10285714285714286</v>
          </cell>
          <cell r="R572">
            <v>0.99940828402366866</v>
          </cell>
          <cell r="S572">
            <v>0</v>
          </cell>
          <cell r="T572">
            <v>0</v>
          </cell>
          <cell r="U572">
            <v>1</v>
          </cell>
          <cell r="V572">
            <v>0</v>
          </cell>
        </row>
        <row r="573">
          <cell r="Q573">
            <v>0.18571428571428572</v>
          </cell>
          <cell r="R573">
            <v>0.99940828402366866</v>
          </cell>
          <cell r="S573">
            <v>1</v>
          </cell>
          <cell r="T573">
            <v>0</v>
          </cell>
          <cell r="U573">
            <v>0.5</v>
          </cell>
          <cell r="V573">
            <v>0</v>
          </cell>
        </row>
        <row r="574">
          <cell r="Q574">
            <v>0.26857142857142857</v>
          </cell>
          <cell r="R574">
            <v>0.99940828402366866</v>
          </cell>
          <cell r="S574">
            <v>0</v>
          </cell>
          <cell r="T574">
            <v>0.50225952227243387</v>
          </cell>
          <cell r="U574">
            <v>0.5</v>
          </cell>
          <cell r="V574">
            <v>0</v>
          </cell>
        </row>
        <row r="575">
          <cell r="Q575">
            <v>0.15428571428571428</v>
          </cell>
          <cell r="R575">
            <v>0.99940828402366866</v>
          </cell>
          <cell r="S575">
            <v>0</v>
          </cell>
          <cell r="T575">
            <v>1</v>
          </cell>
          <cell r="U575">
            <v>0.5</v>
          </cell>
          <cell r="V575">
            <v>6.1771795901968664E-2</v>
          </cell>
        </row>
        <row r="576">
          <cell r="Q576">
            <v>0.2257142857142857</v>
          </cell>
          <cell r="R576">
            <v>0.99940828402366866</v>
          </cell>
          <cell r="S576">
            <v>0</v>
          </cell>
          <cell r="T576">
            <v>0</v>
          </cell>
          <cell r="U576">
            <v>0.75</v>
          </cell>
          <cell r="V576">
            <v>0</v>
          </cell>
        </row>
        <row r="577">
          <cell r="Q577">
            <v>0.2257142857142857</v>
          </cell>
          <cell r="R577">
            <v>0.99940828402366866</v>
          </cell>
          <cell r="S577">
            <v>0</v>
          </cell>
          <cell r="T577">
            <v>0</v>
          </cell>
          <cell r="U577">
            <v>0.75</v>
          </cell>
          <cell r="V577">
            <v>0</v>
          </cell>
        </row>
        <row r="578">
          <cell r="Q578">
            <v>0.2257142857142857</v>
          </cell>
          <cell r="R578">
            <v>0.99940828402366866</v>
          </cell>
          <cell r="S578">
            <v>0</v>
          </cell>
          <cell r="T578">
            <v>0</v>
          </cell>
          <cell r="U578">
            <v>0.75</v>
          </cell>
          <cell r="V578">
            <v>0</v>
          </cell>
        </row>
        <row r="579">
          <cell r="Q579">
            <v>0.2257142857142857</v>
          </cell>
          <cell r="R579">
            <v>0.99940828402366866</v>
          </cell>
          <cell r="S579">
            <v>0</v>
          </cell>
          <cell r="T579">
            <v>0</v>
          </cell>
          <cell r="U579">
            <v>0.75</v>
          </cell>
          <cell r="V579">
            <v>0</v>
          </cell>
        </row>
        <row r="580">
          <cell r="Q580">
            <v>0.10571428571428572</v>
          </cell>
          <cell r="R580">
            <v>0.99940828402366866</v>
          </cell>
          <cell r="S580">
            <v>0</v>
          </cell>
          <cell r="T580">
            <v>0.71698113207547165</v>
          </cell>
          <cell r="U580">
            <v>0.75</v>
          </cell>
          <cell r="V580">
            <v>0</v>
          </cell>
        </row>
        <row r="581">
          <cell r="Q581">
            <v>0.1</v>
          </cell>
          <cell r="R581">
            <v>0.99940828402366866</v>
          </cell>
          <cell r="S581">
            <v>0</v>
          </cell>
          <cell r="T581">
            <v>0</v>
          </cell>
          <cell r="U581">
            <v>1</v>
          </cell>
          <cell r="V581">
            <v>0</v>
          </cell>
        </row>
        <row r="582">
          <cell r="Q582">
            <v>0.1</v>
          </cell>
          <cell r="R582">
            <v>0.99940828402366866</v>
          </cell>
          <cell r="S582">
            <v>0</v>
          </cell>
          <cell r="T582">
            <v>0</v>
          </cell>
          <cell r="U582">
            <v>1</v>
          </cell>
          <cell r="V582">
            <v>0</v>
          </cell>
        </row>
        <row r="583">
          <cell r="Q583">
            <v>0.1</v>
          </cell>
          <cell r="R583">
            <v>0.99940828402366866</v>
          </cell>
          <cell r="S583">
            <v>0</v>
          </cell>
          <cell r="T583">
            <v>0</v>
          </cell>
          <cell r="U583">
            <v>1</v>
          </cell>
          <cell r="V583">
            <v>0</v>
          </cell>
        </row>
        <row r="584">
          <cell r="Q584">
            <v>0.18285714285714286</v>
          </cell>
          <cell r="R584">
            <v>0.99940828402366866</v>
          </cell>
          <cell r="S584">
            <v>1</v>
          </cell>
          <cell r="T584">
            <v>0</v>
          </cell>
          <cell r="U584">
            <v>0.5</v>
          </cell>
          <cell r="V584">
            <v>0</v>
          </cell>
        </row>
        <row r="585">
          <cell r="Q585">
            <v>7.7142857142857138E-2</v>
          </cell>
          <cell r="R585">
            <v>0.99940828402366866</v>
          </cell>
          <cell r="S585">
            <v>0</v>
          </cell>
          <cell r="T585">
            <v>1</v>
          </cell>
          <cell r="U585">
            <v>0.5</v>
          </cell>
          <cell r="V585">
            <v>0.20943097997892518</v>
          </cell>
        </row>
        <row r="586">
          <cell r="Q586">
            <v>0.22285714285714286</v>
          </cell>
          <cell r="R586">
            <v>0.99940828402366866</v>
          </cell>
          <cell r="S586">
            <v>0</v>
          </cell>
          <cell r="T586">
            <v>0</v>
          </cell>
          <cell r="U586">
            <v>0.75</v>
          </cell>
          <cell r="V586">
            <v>0</v>
          </cell>
        </row>
        <row r="587">
          <cell r="Q587">
            <v>0.22285714285714286</v>
          </cell>
          <cell r="R587">
            <v>0.99940828402366866</v>
          </cell>
          <cell r="S587">
            <v>0</v>
          </cell>
          <cell r="T587">
            <v>0</v>
          </cell>
          <cell r="U587">
            <v>0.75</v>
          </cell>
          <cell r="V587">
            <v>0</v>
          </cell>
        </row>
        <row r="588">
          <cell r="Q588">
            <v>0.42285714285714288</v>
          </cell>
          <cell r="R588">
            <v>0.99940828402366866</v>
          </cell>
          <cell r="S588">
            <v>0</v>
          </cell>
          <cell r="T588">
            <v>0.29664306919387989</v>
          </cell>
          <cell r="U588">
            <v>0.25</v>
          </cell>
          <cell r="V588">
            <v>0</v>
          </cell>
        </row>
        <row r="589">
          <cell r="Q589">
            <v>9.7142857142857142E-2</v>
          </cell>
          <cell r="R589">
            <v>0.99940828402366866</v>
          </cell>
          <cell r="S589">
            <v>0</v>
          </cell>
          <cell r="T589">
            <v>0</v>
          </cell>
          <cell r="U589">
            <v>1</v>
          </cell>
          <cell r="V589">
            <v>0</v>
          </cell>
        </row>
        <row r="590">
          <cell r="Q590">
            <v>9.7142857142857142E-2</v>
          </cell>
          <cell r="R590">
            <v>0.99940828402366866</v>
          </cell>
          <cell r="S590">
            <v>0</v>
          </cell>
          <cell r="T590">
            <v>0</v>
          </cell>
          <cell r="U590">
            <v>1</v>
          </cell>
          <cell r="V590">
            <v>0</v>
          </cell>
        </row>
        <row r="591">
          <cell r="Q591">
            <v>9.7142857142857142E-2</v>
          </cell>
          <cell r="R591">
            <v>0.99940828402366866</v>
          </cell>
          <cell r="S591">
            <v>0</v>
          </cell>
          <cell r="T591">
            <v>0</v>
          </cell>
          <cell r="U591">
            <v>1</v>
          </cell>
          <cell r="V591">
            <v>0</v>
          </cell>
        </row>
        <row r="592">
          <cell r="Q592">
            <v>0.21428571428571427</v>
          </cell>
          <cell r="R592">
            <v>0.99940828402366866</v>
          </cell>
          <cell r="S592">
            <v>0</v>
          </cell>
          <cell r="T592">
            <v>4.5543584720861903E-2</v>
          </cell>
          <cell r="U592">
            <v>0.75</v>
          </cell>
          <cell r="V592">
            <v>0</v>
          </cell>
        </row>
        <row r="593">
          <cell r="Q593">
            <v>0.22</v>
          </cell>
          <cell r="R593">
            <v>0.99940828402366866</v>
          </cell>
          <cell r="S593">
            <v>0</v>
          </cell>
          <cell r="T593">
            <v>0</v>
          </cell>
          <cell r="U593">
            <v>0.75</v>
          </cell>
          <cell r="V593">
            <v>0</v>
          </cell>
        </row>
        <row r="594">
          <cell r="Q594">
            <v>0.18571428571428572</v>
          </cell>
          <cell r="R594">
            <v>0.99940828402366866</v>
          </cell>
          <cell r="S594">
            <v>0</v>
          </cell>
          <cell r="T594">
            <v>0</v>
          </cell>
          <cell r="U594">
            <v>0.75</v>
          </cell>
          <cell r="V594">
            <v>6.8062015503875972E-2</v>
          </cell>
        </row>
        <row r="595">
          <cell r="Q595">
            <v>9.4285714285714292E-2</v>
          </cell>
          <cell r="R595">
            <v>0.99940828402366866</v>
          </cell>
          <cell r="S595">
            <v>0</v>
          </cell>
          <cell r="T595">
            <v>0</v>
          </cell>
          <cell r="U595">
            <v>1</v>
          </cell>
          <cell r="V595">
            <v>0</v>
          </cell>
        </row>
        <row r="596">
          <cell r="Q596">
            <v>9.4285714285714292E-2</v>
          </cell>
          <cell r="R596">
            <v>0.99940828402366866</v>
          </cell>
          <cell r="S596">
            <v>0</v>
          </cell>
          <cell r="T596">
            <v>0</v>
          </cell>
          <cell r="U596">
            <v>1</v>
          </cell>
          <cell r="V596">
            <v>0</v>
          </cell>
        </row>
        <row r="597">
          <cell r="Q597">
            <v>9.4285714285714292E-2</v>
          </cell>
          <cell r="R597">
            <v>0.99940828402366866</v>
          </cell>
          <cell r="S597">
            <v>0</v>
          </cell>
          <cell r="T597">
            <v>0</v>
          </cell>
          <cell r="U597">
            <v>1</v>
          </cell>
          <cell r="V597">
            <v>0</v>
          </cell>
        </row>
        <row r="598">
          <cell r="Q598">
            <v>9.4285714285714292E-2</v>
          </cell>
          <cell r="R598">
            <v>0.99940828402366866</v>
          </cell>
          <cell r="S598">
            <v>0</v>
          </cell>
          <cell r="T598">
            <v>0</v>
          </cell>
          <cell r="U598">
            <v>1</v>
          </cell>
          <cell r="V598">
            <v>0</v>
          </cell>
        </row>
        <row r="599">
          <cell r="Q599">
            <v>0.17714285714285713</v>
          </cell>
          <cell r="R599">
            <v>0.99940828402366866</v>
          </cell>
          <cell r="S599">
            <v>0</v>
          </cell>
          <cell r="T599">
            <v>1</v>
          </cell>
          <cell r="U599">
            <v>0.5</v>
          </cell>
          <cell r="V599">
            <v>0</v>
          </cell>
        </row>
        <row r="600">
          <cell r="Q600">
            <v>0.17714285714285713</v>
          </cell>
          <cell r="R600">
            <v>0.99940828402366866</v>
          </cell>
          <cell r="S600">
            <v>0</v>
          </cell>
          <cell r="T600">
            <v>1</v>
          </cell>
          <cell r="U600">
            <v>0.5</v>
          </cell>
          <cell r="V600">
            <v>0</v>
          </cell>
        </row>
        <row r="601">
          <cell r="Q601">
            <v>0.19142857142857142</v>
          </cell>
          <cell r="R601">
            <v>0.99940828402366866</v>
          </cell>
          <cell r="S601">
            <v>0</v>
          </cell>
          <cell r="T601">
            <v>0</v>
          </cell>
          <cell r="U601">
            <v>0.75</v>
          </cell>
          <cell r="V601">
            <v>5.30264496439471E-2</v>
          </cell>
        </row>
        <row r="602">
          <cell r="Q602">
            <v>0.21714285714285714</v>
          </cell>
          <cell r="R602">
            <v>0.99940828402366866</v>
          </cell>
          <cell r="S602">
            <v>0</v>
          </cell>
          <cell r="T602">
            <v>0</v>
          </cell>
          <cell r="U602">
            <v>0.75</v>
          </cell>
          <cell r="V602">
            <v>0</v>
          </cell>
        </row>
        <row r="603">
          <cell r="Q603">
            <v>8.5714285714285715E-2</v>
          </cell>
          <cell r="R603">
            <v>0.99940828402366866</v>
          </cell>
          <cell r="S603">
            <v>0</v>
          </cell>
          <cell r="T603">
            <v>3.035795197100136E-2</v>
          </cell>
          <cell r="U603">
            <v>1</v>
          </cell>
          <cell r="V603">
            <v>0</v>
          </cell>
        </row>
        <row r="604">
          <cell r="Q604">
            <v>0.17428571428571429</v>
          </cell>
          <cell r="R604">
            <v>0.99940828402366866</v>
          </cell>
          <cell r="S604">
            <v>0</v>
          </cell>
          <cell r="T604">
            <v>0</v>
          </cell>
          <cell r="U604">
            <v>0.5</v>
          </cell>
          <cell r="V604">
            <v>0.33035996210925167</v>
          </cell>
        </row>
        <row r="605">
          <cell r="Q605">
            <v>0.21428571428571427</v>
          </cell>
          <cell r="R605">
            <v>0.99940828402366866</v>
          </cell>
          <cell r="S605">
            <v>0</v>
          </cell>
          <cell r="T605">
            <v>0</v>
          </cell>
          <cell r="U605">
            <v>0.75</v>
          </cell>
          <cell r="V605">
            <v>0</v>
          </cell>
        </row>
        <row r="606">
          <cell r="Q606">
            <v>0.21142857142857144</v>
          </cell>
          <cell r="R606">
            <v>0.99940828402366866</v>
          </cell>
          <cell r="S606">
            <v>0</v>
          </cell>
          <cell r="T606">
            <v>0</v>
          </cell>
          <cell r="U606">
            <v>0.75</v>
          </cell>
          <cell r="V606">
            <v>4.9205679741318713E-3</v>
          </cell>
        </row>
        <row r="607">
          <cell r="Q607">
            <v>7.1428571428571425E-2</v>
          </cell>
          <cell r="R607">
            <v>0.99940828402366866</v>
          </cell>
          <cell r="S607">
            <v>0</v>
          </cell>
          <cell r="T607">
            <v>9.4250706880301596E-3</v>
          </cell>
          <cell r="U607">
            <v>0.75</v>
          </cell>
          <cell r="V607">
            <v>0.27851083883129124</v>
          </cell>
        </row>
        <row r="608">
          <cell r="Q608">
            <v>0.29714285714285715</v>
          </cell>
          <cell r="R608">
            <v>0.99940828402366866</v>
          </cell>
          <cell r="S608">
            <v>0</v>
          </cell>
          <cell r="T608">
            <v>0.98643556895252449</v>
          </cell>
          <cell r="U608">
            <v>0.25</v>
          </cell>
          <cell r="V608">
            <v>0</v>
          </cell>
        </row>
        <row r="609">
          <cell r="Q609">
            <v>0.21142857142857144</v>
          </cell>
          <cell r="R609">
            <v>0.99940828402366866</v>
          </cell>
          <cell r="S609">
            <v>0</v>
          </cell>
          <cell r="T609">
            <v>0</v>
          </cell>
          <cell r="U609">
            <v>0.75</v>
          </cell>
          <cell r="V609">
            <v>0</v>
          </cell>
        </row>
        <row r="610">
          <cell r="Q610">
            <v>0.21142857142857144</v>
          </cell>
          <cell r="R610">
            <v>0.99940828402366866</v>
          </cell>
          <cell r="S610">
            <v>0</v>
          </cell>
          <cell r="T610">
            <v>0</v>
          </cell>
          <cell r="U610">
            <v>0.75</v>
          </cell>
          <cell r="V610">
            <v>0</v>
          </cell>
        </row>
        <row r="611">
          <cell r="Q611">
            <v>0.21142857142857144</v>
          </cell>
          <cell r="R611">
            <v>0.99940828402366866</v>
          </cell>
          <cell r="S611">
            <v>0</v>
          </cell>
          <cell r="T611">
            <v>0</v>
          </cell>
          <cell r="U611">
            <v>0.75</v>
          </cell>
          <cell r="V611">
            <v>0</v>
          </cell>
        </row>
        <row r="612">
          <cell r="Q612">
            <v>0.21142857142857144</v>
          </cell>
          <cell r="R612">
            <v>0.99940828402366866</v>
          </cell>
          <cell r="S612">
            <v>0</v>
          </cell>
          <cell r="T612">
            <v>0</v>
          </cell>
          <cell r="U612">
            <v>0.75</v>
          </cell>
          <cell r="V612">
            <v>0</v>
          </cell>
        </row>
        <row r="613">
          <cell r="Q613">
            <v>0.21142857142857144</v>
          </cell>
          <cell r="R613">
            <v>0.99940828402366866</v>
          </cell>
          <cell r="S613">
            <v>0</v>
          </cell>
          <cell r="T613">
            <v>0</v>
          </cell>
          <cell r="U613">
            <v>0.75</v>
          </cell>
          <cell r="V613">
            <v>0</v>
          </cell>
        </row>
        <row r="614">
          <cell r="Q614">
            <v>0.1657142857142857</v>
          </cell>
          <cell r="R614">
            <v>0.99940828402366866</v>
          </cell>
          <cell r="S614">
            <v>1</v>
          </cell>
          <cell r="T614">
            <v>0</v>
          </cell>
          <cell r="U614">
            <v>0.5</v>
          </cell>
          <cell r="V614">
            <v>4.5512470416894232E-3</v>
          </cell>
        </row>
        <row r="615">
          <cell r="Q615">
            <v>0.3342857142857143</v>
          </cell>
          <cell r="R615">
            <v>0.99940828402366866</v>
          </cell>
          <cell r="S615">
            <v>0</v>
          </cell>
          <cell r="T615">
            <v>0</v>
          </cell>
          <cell r="U615">
            <v>0.5</v>
          </cell>
          <cell r="V615">
            <v>0</v>
          </cell>
        </row>
        <row r="616">
          <cell r="Q616">
            <v>0.20857142857142857</v>
          </cell>
          <cell r="R616">
            <v>0.99940828402366866</v>
          </cell>
          <cell r="S616">
            <v>0</v>
          </cell>
          <cell r="T616">
            <v>0</v>
          </cell>
          <cell r="U616">
            <v>0.75</v>
          </cell>
          <cell r="V616">
            <v>0</v>
          </cell>
        </row>
        <row r="617">
          <cell r="Q617">
            <v>0.20857142857142857</v>
          </cell>
          <cell r="R617">
            <v>0.99940828402366866</v>
          </cell>
          <cell r="S617">
            <v>0</v>
          </cell>
          <cell r="T617">
            <v>0</v>
          </cell>
          <cell r="U617">
            <v>0.75</v>
          </cell>
          <cell r="V617">
            <v>0</v>
          </cell>
        </row>
        <row r="618">
          <cell r="Q618">
            <v>8.2857142857142851E-2</v>
          </cell>
          <cell r="R618">
            <v>0.99940828402366866</v>
          </cell>
          <cell r="S618">
            <v>0</v>
          </cell>
          <cell r="T618">
            <v>0</v>
          </cell>
          <cell r="U618">
            <v>1</v>
          </cell>
          <cell r="V618">
            <v>0</v>
          </cell>
        </row>
        <row r="619">
          <cell r="Q619">
            <v>8.2857142857142851E-2</v>
          </cell>
          <cell r="R619">
            <v>0.99940828402366866</v>
          </cell>
          <cell r="S619">
            <v>0</v>
          </cell>
          <cell r="T619">
            <v>0</v>
          </cell>
          <cell r="U619">
            <v>1</v>
          </cell>
          <cell r="V619">
            <v>0</v>
          </cell>
        </row>
        <row r="620">
          <cell r="Q620">
            <v>0.1657142857142857</v>
          </cell>
          <cell r="R620">
            <v>0.99940828402366866</v>
          </cell>
          <cell r="S620">
            <v>0</v>
          </cell>
          <cell r="T620">
            <v>1</v>
          </cell>
          <cell r="U620">
            <v>0.5</v>
          </cell>
          <cell r="V620">
            <v>0</v>
          </cell>
        </row>
        <row r="621">
          <cell r="Q621">
            <v>0.33142857142857141</v>
          </cell>
          <cell r="R621">
            <v>0.99940828402366866</v>
          </cell>
          <cell r="S621">
            <v>0</v>
          </cell>
          <cell r="T621">
            <v>0</v>
          </cell>
          <cell r="U621">
            <v>0.5</v>
          </cell>
          <cell r="V621">
            <v>0</v>
          </cell>
        </row>
        <row r="622">
          <cell r="Q622">
            <v>0.20571428571428571</v>
          </cell>
          <cell r="R622">
            <v>0.99940828402366866</v>
          </cell>
          <cell r="S622">
            <v>0</v>
          </cell>
          <cell r="T622">
            <v>0</v>
          </cell>
          <cell r="U622">
            <v>0.75</v>
          </cell>
          <cell r="V622">
            <v>0</v>
          </cell>
        </row>
        <row r="623">
          <cell r="Q623">
            <v>0.20571428571428571</v>
          </cell>
          <cell r="R623">
            <v>0.99940828402366866</v>
          </cell>
          <cell r="S623">
            <v>0</v>
          </cell>
          <cell r="T623">
            <v>0</v>
          </cell>
          <cell r="U623">
            <v>0.75</v>
          </cell>
          <cell r="V623">
            <v>0</v>
          </cell>
        </row>
        <row r="624">
          <cell r="Q624">
            <v>0.24857142857142858</v>
          </cell>
          <cell r="R624">
            <v>0.99940828402366866</v>
          </cell>
          <cell r="S624">
            <v>0</v>
          </cell>
          <cell r="T624">
            <v>0</v>
          </cell>
          <cell r="U624">
            <v>0.25</v>
          </cell>
          <cell r="V624">
            <v>0.41338582677165353</v>
          </cell>
        </row>
        <row r="625">
          <cell r="Q625">
            <v>0.2</v>
          </cell>
          <cell r="R625">
            <v>0.99940828402366866</v>
          </cell>
          <cell r="S625">
            <v>0</v>
          </cell>
          <cell r="T625">
            <v>3.0111843991970175E-2</v>
          </cell>
          <cell r="U625">
            <v>0.75</v>
          </cell>
          <cell r="V625">
            <v>0</v>
          </cell>
        </row>
        <row r="626">
          <cell r="Q626">
            <v>0.08</v>
          </cell>
          <cell r="R626">
            <v>0.99940828402366866</v>
          </cell>
          <cell r="S626">
            <v>0</v>
          </cell>
          <cell r="T626">
            <v>0</v>
          </cell>
          <cell r="U626">
            <v>1</v>
          </cell>
          <cell r="V626">
            <v>0</v>
          </cell>
        </row>
        <row r="627">
          <cell r="Q627">
            <v>0.16285714285714287</v>
          </cell>
          <cell r="R627">
            <v>0.99940828402366866</v>
          </cell>
          <cell r="S627">
            <v>1</v>
          </cell>
          <cell r="T627">
            <v>0</v>
          </cell>
          <cell r="U627">
            <v>0.5</v>
          </cell>
          <cell r="V627">
            <v>0</v>
          </cell>
        </row>
        <row r="628">
          <cell r="Q628">
            <v>0.16285714285714287</v>
          </cell>
          <cell r="R628">
            <v>0.99940828402366866</v>
          </cell>
          <cell r="S628">
            <v>1</v>
          </cell>
          <cell r="T628">
            <v>0</v>
          </cell>
          <cell r="U628">
            <v>0.5</v>
          </cell>
          <cell r="V628">
            <v>0</v>
          </cell>
        </row>
        <row r="629">
          <cell r="Q629">
            <v>0.16285714285714287</v>
          </cell>
          <cell r="R629">
            <v>0.99940828402366866</v>
          </cell>
          <cell r="S629">
            <v>1</v>
          </cell>
          <cell r="T629">
            <v>0</v>
          </cell>
          <cell r="U629">
            <v>0.5</v>
          </cell>
          <cell r="V629">
            <v>0</v>
          </cell>
        </row>
        <row r="630">
          <cell r="Q630">
            <v>0.16285714285714287</v>
          </cell>
          <cell r="R630">
            <v>0.99940828402366866</v>
          </cell>
          <cell r="S630">
            <v>1</v>
          </cell>
          <cell r="T630">
            <v>0</v>
          </cell>
          <cell r="U630">
            <v>0.5</v>
          </cell>
          <cell r="V630">
            <v>0</v>
          </cell>
        </row>
        <row r="631">
          <cell r="Q631">
            <v>0.10285714285714286</v>
          </cell>
          <cell r="R631">
            <v>0.99940828402366866</v>
          </cell>
          <cell r="S631">
            <v>0</v>
          </cell>
          <cell r="T631">
            <v>0.60955414012738851</v>
          </cell>
          <cell r="U631">
            <v>0.75</v>
          </cell>
          <cell r="V631">
            <v>0</v>
          </cell>
        </row>
        <row r="632">
          <cell r="Q632">
            <v>0.20285714285714285</v>
          </cell>
          <cell r="R632">
            <v>0.99940828402366866</v>
          </cell>
          <cell r="S632">
            <v>0</v>
          </cell>
          <cell r="T632">
            <v>0</v>
          </cell>
          <cell r="U632">
            <v>0.75</v>
          </cell>
          <cell r="V632">
            <v>0</v>
          </cell>
        </row>
        <row r="633">
          <cell r="Q633">
            <v>0.20285714285714285</v>
          </cell>
          <cell r="R633">
            <v>0.99940828402366866</v>
          </cell>
          <cell r="S633">
            <v>0</v>
          </cell>
          <cell r="T633">
            <v>0</v>
          </cell>
          <cell r="U633">
            <v>0.75</v>
          </cell>
          <cell r="V633">
            <v>0</v>
          </cell>
        </row>
        <row r="634">
          <cell r="Q634">
            <v>0.2857142857142857</v>
          </cell>
          <cell r="R634">
            <v>0.99940828402366866</v>
          </cell>
          <cell r="S634">
            <v>0</v>
          </cell>
          <cell r="T634">
            <v>1</v>
          </cell>
          <cell r="U634">
            <v>0.25</v>
          </cell>
          <cell r="V634">
            <v>0</v>
          </cell>
        </row>
        <row r="635">
          <cell r="Q635">
            <v>7.7142857142857138E-2</v>
          </cell>
          <cell r="R635">
            <v>0.99940828402366866</v>
          </cell>
          <cell r="S635">
            <v>0</v>
          </cell>
          <cell r="T635">
            <v>0</v>
          </cell>
          <cell r="U635">
            <v>0.25</v>
          </cell>
          <cell r="V635">
            <v>0.75</v>
          </cell>
        </row>
        <row r="636">
          <cell r="Q636">
            <v>0.16</v>
          </cell>
          <cell r="R636">
            <v>0.99940828402366866</v>
          </cell>
          <cell r="S636">
            <v>1</v>
          </cell>
          <cell r="T636">
            <v>0</v>
          </cell>
          <cell r="U636">
            <v>0.5</v>
          </cell>
          <cell r="V636">
            <v>0</v>
          </cell>
        </row>
        <row r="637">
          <cell r="Q637">
            <v>0.16</v>
          </cell>
          <cell r="R637">
            <v>0.99940828402366866</v>
          </cell>
          <cell r="S637">
            <v>1</v>
          </cell>
          <cell r="T637">
            <v>0</v>
          </cell>
          <cell r="U637">
            <v>0.5</v>
          </cell>
          <cell r="V637">
            <v>0</v>
          </cell>
        </row>
        <row r="638">
          <cell r="Q638">
            <v>0.15428571428571428</v>
          </cell>
          <cell r="R638">
            <v>0.99940828402366866</v>
          </cell>
          <cell r="S638">
            <v>0</v>
          </cell>
          <cell r="T638">
            <v>1</v>
          </cell>
          <cell r="U638">
            <v>0.5</v>
          </cell>
          <cell r="V638">
            <v>9.1664629674896112E-3</v>
          </cell>
        </row>
        <row r="639">
          <cell r="Q639">
            <v>0.2</v>
          </cell>
          <cell r="R639">
            <v>0.99940828402366866</v>
          </cell>
          <cell r="S639">
            <v>0</v>
          </cell>
          <cell r="T639">
            <v>0</v>
          </cell>
          <cell r="U639">
            <v>0.75</v>
          </cell>
          <cell r="V639">
            <v>0</v>
          </cell>
        </row>
        <row r="640">
          <cell r="Q640">
            <v>0.2</v>
          </cell>
          <cell r="R640">
            <v>0.99940828402366866</v>
          </cell>
          <cell r="S640">
            <v>0</v>
          </cell>
          <cell r="T640">
            <v>0</v>
          </cell>
          <cell r="U640">
            <v>0.75</v>
          </cell>
          <cell r="V640">
            <v>0</v>
          </cell>
        </row>
        <row r="641">
          <cell r="Q641">
            <v>0.15142857142857144</v>
          </cell>
          <cell r="R641">
            <v>0.99940828402366866</v>
          </cell>
          <cell r="S641">
            <v>0</v>
          </cell>
          <cell r="T641">
            <v>0.29031440162271804</v>
          </cell>
          <cell r="U641">
            <v>0.75</v>
          </cell>
          <cell r="V641">
            <v>0</v>
          </cell>
        </row>
        <row r="642">
          <cell r="Q642">
            <v>7.4285714285714288E-2</v>
          </cell>
          <cell r="R642">
            <v>0.99940828402366866</v>
          </cell>
          <cell r="S642">
            <v>0</v>
          </cell>
          <cell r="T642">
            <v>0</v>
          </cell>
          <cell r="U642">
            <v>1</v>
          </cell>
          <cell r="V642">
            <v>0</v>
          </cell>
        </row>
        <row r="643">
          <cell r="Q643">
            <v>0.26857142857142857</v>
          </cell>
          <cell r="R643">
            <v>0.99940828402366866</v>
          </cell>
          <cell r="S643">
            <v>0</v>
          </cell>
          <cell r="T643">
            <v>0.3204022988505747</v>
          </cell>
          <cell r="U643">
            <v>0.5</v>
          </cell>
          <cell r="V643">
            <v>4.2205459770114943E-3</v>
          </cell>
        </row>
        <row r="644">
          <cell r="Q644">
            <v>0.19714285714285715</v>
          </cell>
          <cell r="R644">
            <v>0.99940828402366866</v>
          </cell>
          <cell r="S644">
            <v>0</v>
          </cell>
          <cell r="T644">
            <v>3.5335689045936395E-3</v>
          </cell>
          <cell r="U644">
            <v>0.75</v>
          </cell>
          <cell r="V644">
            <v>0</v>
          </cell>
        </row>
        <row r="645">
          <cell r="Q645">
            <v>0.19714285714285715</v>
          </cell>
          <cell r="R645">
            <v>0.99940828402366866</v>
          </cell>
          <cell r="S645">
            <v>0</v>
          </cell>
          <cell r="T645">
            <v>0</v>
          </cell>
          <cell r="U645">
            <v>0.75</v>
          </cell>
          <cell r="V645">
            <v>0</v>
          </cell>
        </row>
        <row r="646">
          <cell r="Q646">
            <v>0.19714285714285715</v>
          </cell>
          <cell r="R646">
            <v>0.99940828402366866</v>
          </cell>
          <cell r="S646">
            <v>0</v>
          </cell>
          <cell r="T646">
            <v>0</v>
          </cell>
          <cell r="U646">
            <v>0.75</v>
          </cell>
          <cell r="V646">
            <v>0</v>
          </cell>
        </row>
        <row r="647">
          <cell r="Q647">
            <v>0.19714285714285715</v>
          </cell>
          <cell r="R647">
            <v>0.99940828402366866</v>
          </cell>
          <cell r="S647">
            <v>0</v>
          </cell>
          <cell r="T647">
            <v>0</v>
          </cell>
          <cell r="U647">
            <v>0.75</v>
          </cell>
          <cell r="V647">
            <v>0</v>
          </cell>
        </row>
        <row r="648">
          <cell r="Q648">
            <v>7.1428571428571425E-2</v>
          </cell>
          <cell r="R648">
            <v>0.99940828402366866</v>
          </cell>
          <cell r="S648">
            <v>0</v>
          </cell>
          <cell r="T648">
            <v>0</v>
          </cell>
          <cell r="U648">
            <v>1</v>
          </cell>
          <cell r="V648">
            <v>0</v>
          </cell>
        </row>
        <row r="649">
          <cell r="Q649">
            <v>0.19428571428571428</v>
          </cell>
          <cell r="R649">
            <v>0.99940828402366866</v>
          </cell>
          <cell r="S649">
            <v>0</v>
          </cell>
          <cell r="T649">
            <v>9.6446700507614221E-3</v>
          </cell>
          <cell r="U649">
            <v>0.75</v>
          </cell>
          <cell r="V649">
            <v>0</v>
          </cell>
        </row>
        <row r="650">
          <cell r="Q650">
            <v>0.14000000000000001</v>
          </cell>
          <cell r="R650">
            <v>0.99940828402366866</v>
          </cell>
          <cell r="S650">
            <v>0</v>
          </cell>
          <cell r="T650">
            <v>0.3352941176470588</v>
          </cell>
          <cell r="U650">
            <v>0</v>
          </cell>
          <cell r="V650">
            <v>0.75</v>
          </cell>
        </row>
        <row r="651">
          <cell r="Q651">
            <v>0.18857142857142858</v>
          </cell>
          <cell r="R651">
            <v>0.99940828402366866</v>
          </cell>
          <cell r="S651">
            <v>0</v>
          </cell>
          <cell r="T651">
            <v>0</v>
          </cell>
          <cell r="U651">
            <v>0.75</v>
          </cell>
          <cell r="V651">
            <v>1.4506769825918761E-2</v>
          </cell>
        </row>
        <row r="652">
          <cell r="Q652">
            <v>2.8571428571428571E-2</v>
          </cell>
          <cell r="R652">
            <v>0.99940828402366866</v>
          </cell>
          <cell r="S652">
            <v>0</v>
          </cell>
          <cell r="T652">
            <v>1</v>
          </cell>
          <cell r="U652">
            <v>0.75</v>
          </cell>
          <cell r="V652">
            <v>0</v>
          </cell>
        </row>
        <row r="653">
          <cell r="Q653">
            <v>0.19428571428571428</v>
          </cell>
          <cell r="R653">
            <v>0.99940828402366866</v>
          </cell>
          <cell r="S653">
            <v>0</v>
          </cell>
          <cell r="T653">
            <v>1.7232465965879716E-4</v>
          </cell>
          <cell r="U653">
            <v>0.75</v>
          </cell>
          <cell r="V653">
            <v>0</v>
          </cell>
        </row>
        <row r="654">
          <cell r="Q654">
            <v>0.19428571428571428</v>
          </cell>
          <cell r="R654">
            <v>0.99940828402366866</v>
          </cell>
          <cell r="S654">
            <v>0</v>
          </cell>
          <cell r="T654">
            <v>0</v>
          </cell>
          <cell r="U654">
            <v>0.75</v>
          </cell>
          <cell r="V654">
            <v>0</v>
          </cell>
        </row>
        <row r="655">
          <cell r="Q655">
            <v>0.19428571428571428</v>
          </cell>
          <cell r="R655">
            <v>0.99940828402366866</v>
          </cell>
          <cell r="S655">
            <v>0</v>
          </cell>
          <cell r="T655">
            <v>0</v>
          </cell>
          <cell r="U655">
            <v>0.75</v>
          </cell>
          <cell r="V655">
            <v>0</v>
          </cell>
        </row>
        <row r="656">
          <cell r="Q656">
            <v>0.16857142857142857</v>
          </cell>
          <cell r="R656">
            <v>0.99940828402366866</v>
          </cell>
          <cell r="S656">
            <v>0</v>
          </cell>
          <cell r="T656">
            <v>0.90243902439024393</v>
          </cell>
          <cell r="U656">
            <v>0.5</v>
          </cell>
          <cell r="V656">
            <v>0</v>
          </cell>
        </row>
        <row r="657">
          <cell r="Q657">
            <v>6.8571428571428575E-2</v>
          </cell>
          <cell r="R657">
            <v>0.99940828402366866</v>
          </cell>
          <cell r="S657">
            <v>0</v>
          </cell>
          <cell r="T657">
            <v>0</v>
          </cell>
          <cell r="U657">
            <v>1</v>
          </cell>
          <cell r="V657">
            <v>0</v>
          </cell>
        </row>
        <row r="658">
          <cell r="Q658">
            <v>0.12571428571428572</v>
          </cell>
          <cell r="R658">
            <v>0.99940828402366866</v>
          </cell>
          <cell r="S658">
            <v>0</v>
          </cell>
          <cell r="T658">
            <v>0.40511727078891258</v>
          </cell>
          <cell r="U658">
            <v>0.75</v>
          </cell>
          <cell r="V658">
            <v>0</v>
          </cell>
        </row>
        <row r="659">
          <cell r="Q659">
            <v>0.31142857142857144</v>
          </cell>
          <cell r="R659">
            <v>0.99940828402366866</v>
          </cell>
          <cell r="S659">
            <v>0</v>
          </cell>
          <cell r="T659">
            <v>0</v>
          </cell>
          <cell r="U659">
            <v>0.5</v>
          </cell>
          <cell r="V659">
            <v>1.2863390789812194E-2</v>
          </cell>
        </row>
        <row r="660">
          <cell r="Q660">
            <v>0.19142857142857142</v>
          </cell>
          <cell r="R660">
            <v>0.99940828402366866</v>
          </cell>
          <cell r="S660">
            <v>0</v>
          </cell>
          <cell r="T660">
            <v>0</v>
          </cell>
          <cell r="U660">
            <v>0.75</v>
          </cell>
          <cell r="V660">
            <v>0</v>
          </cell>
        </row>
        <row r="661">
          <cell r="Q661">
            <v>0.17142857142857143</v>
          </cell>
          <cell r="R661">
            <v>0.99940828402366866</v>
          </cell>
          <cell r="S661">
            <v>0</v>
          </cell>
          <cell r="T661">
            <v>0</v>
          </cell>
          <cell r="U661">
            <v>0.75</v>
          </cell>
          <cell r="V661">
            <v>3.6879749664729546E-2</v>
          </cell>
        </row>
        <row r="662">
          <cell r="Q662">
            <v>0.31428571428571428</v>
          </cell>
          <cell r="R662">
            <v>0.99940828402366866</v>
          </cell>
          <cell r="S662">
            <v>0</v>
          </cell>
          <cell r="T662">
            <v>0</v>
          </cell>
          <cell r="U662">
            <v>0.5</v>
          </cell>
          <cell r="V662">
            <v>0</v>
          </cell>
        </row>
        <row r="663">
          <cell r="Q663">
            <v>0.39714285714285713</v>
          </cell>
          <cell r="R663">
            <v>0.99940828402366866</v>
          </cell>
          <cell r="S663">
            <v>0</v>
          </cell>
          <cell r="T663">
            <v>1</v>
          </cell>
          <cell r="U663">
            <v>0</v>
          </cell>
          <cell r="V663">
            <v>0</v>
          </cell>
        </row>
        <row r="664">
          <cell r="Q664">
            <v>0.39714285714285713</v>
          </cell>
          <cell r="R664">
            <v>0.99940828402366866</v>
          </cell>
          <cell r="S664">
            <v>0</v>
          </cell>
          <cell r="T664">
            <v>1</v>
          </cell>
          <cell r="U664">
            <v>0</v>
          </cell>
          <cell r="V664">
            <v>0</v>
          </cell>
        </row>
        <row r="665">
          <cell r="Q665">
            <v>0.18857142857142858</v>
          </cell>
          <cell r="R665">
            <v>0.99940828402366866</v>
          </cell>
          <cell r="S665">
            <v>0</v>
          </cell>
          <cell r="T665">
            <v>0</v>
          </cell>
          <cell r="U665">
            <v>0.75</v>
          </cell>
          <cell r="V665">
            <v>0</v>
          </cell>
        </row>
        <row r="666">
          <cell r="Q666">
            <v>0.18857142857142858</v>
          </cell>
          <cell r="R666">
            <v>0.99940828402366866</v>
          </cell>
          <cell r="S666">
            <v>0</v>
          </cell>
          <cell r="T666">
            <v>0</v>
          </cell>
          <cell r="U666">
            <v>0.75</v>
          </cell>
          <cell r="V666">
            <v>0</v>
          </cell>
        </row>
        <row r="667">
          <cell r="Q667">
            <v>0.18571428571428572</v>
          </cell>
          <cell r="R667">
            <v>0.99940828402366866</v>
          </cell>
          <cell r="S667">
            <v>0</v>
          </cell>
          <cell r="T667">
            <v>1.3931523022432113E-2</v>
          </cell>
          <cell r="U667">
            <v>0.75</v>
          </cell>
          <cell r="V667">
            <v>0</v>
          </cell>
        </row>
        <row r="668">
          <cell r="Q668">
            <v>0.20571428571428571</v>
          </cell>
          <cell r="R668">
            <v>0.99940828402366866</v>
          </cell>
          <cell r="S668">
            <v>0</v>
          </cell>
          <cell r="T668">
            <v>0</v>
          </cell>
          <cell r="U668">
            <v>0.5</v>
          </cell>
          <cell r="V668">
            <v>0.21226415094339623</v>
          </cell>
        </row>
        <row r="669">
          <cell r="Q669">
            <v>0.14285714285714285</v>
          </cell>
          <cell r="R669">
            <v>0.99940828402366866</v>
          </cell>
          <cell r="S669">
            <v>0</v>
          </cell>
          <cell r="T669">
            <v>0.2636036960985626</v>
          </cell>
          <cell r="U669">
            <v>0.75</v>
          </cell>
          <cell r="V669">
            <v>0</v>
          </cell>
        </row>
        <row r="670">
          <cell r="Q670">
            <v>0.31142857142857144</v>
          </cell>
          <cell r="R670">
            <v>0.99940828402366866</v>
          </cell>
          <cell r="S670">
            <v>0</v>
          </cell>
          <cell r="T670">
            <v>0</v>
          </cell>
          <cell r="U670">
            <v>0.5</v>
          </cell>
          <cell r="V670">
            <v>0</v>
          </cell>
        </row>
        <row r="671">
          <cell r="Q671">
            <v>0.31142857142857144</v>
          </cell>
          <cell r="R671">
            <v>0.99940828402366866</v>
          </cell>
          <cell r="S671">
            <v>0</v>
          </cell>
          <cell r="T671">
            <v>0</v>
          </cell>
          <cell r="U671">
            <v>0.5</v>
          </cell>
          <cell r="V671">
            <v>0</v>
          </cell>
        </row>
        <row r="672">
          <cell r="Q672">
            <v>0.31142857142857144</v>
          </cell>
          <cell r="R672">
            <v>0.99940828402366866</v>
          </cell>
          <cell r="S672">
            <v>0</v>
          </cell>
          <cell r="T672">
            <v>0</v>
          </cell>
          <cell r="U672">
            <v>0.5</v>
          </cell>
          <cell r="V672">
            <v>0</v>
          </cell>
        </row>
        <row r="673">
          <cell r="Q673">
            <v>0.31142857142857144</v>
          </cell>
          <cell r="R673">
            <v>0.99940828402366866</v>
          </cell>
          <cell r="S673">
            <v>0</v>
          </cell>
          <cell r="T673">
            <v>0</v>
          </cell>
          <cell r="U673">
            <v>0.5</v>
          </cell>
          <cell r="V673">
            <v>0</v>
          </cell>
        </row>
        <row r="674">
          <cell r="Q674">
            <v>0.13714285714285715</v>
          </cell>
          <cell r="R674">
            <v>0.99940828402366866</v>
          </cell>
          <cell r="S674">
            <v>0</v>
          </cell>
          <cell r="T674">
            <v>0.29365384615384615</v>
          </cell>
          <cell r="U674">
            <v>0.75</v>
          </cell>
          <cell r="V674">
            <v>0</v>
          </cell>
        </row>
        <row r="675">
          <cell r="Q675">
            <v>0.18571428571428572</v>
          </cell>
          <cell r="R675">
            <v>0.99940828402366866</v>
          </cell>
          <cell r="S675">
            <v>0</v>
          </cell>
          <cell r="T675">
            <v>0</v>
          </cell>
          <cell r="U675">
            <v>0.75</v>
          </cell>
          <cell r="V675">
            <v>0</v>
          </cell>
        </row>
        <row r="676">
          <cell r="Q676">
            <v>0.18571428571428572</v>
          </cell>
          <cell r="R676">
            <v>0.99940828402366866</v>
          </cell>
          <cell r="S676">
            <v>0</v>
          </cell>
          <cell r="T676">
            <v>0</v>
          </cell>
          <cell r="U676">
            <v>0.75</v>
          </cell>
          <cell r="V676">
            <v>0</v>
          </cell>
        </row>
        <row r="677">
          <cell r="Q677">
            <v>0.18285714285714286</v>
          </cell>
          <cell r="R677">
            <v>0.99940828402366866</v>
          </cell>
          <cell r="S677">
            <v>0</v>
          </cell>
          <cell r="T677">
            <v>0</v>
          </cell>
          <cell r="U677">
            <v>0.25</v>
          </cell>
          <cell r="V677">
            <v>0.5</v>
          </cell>
        </row>
        <row r="678">
          <cell r="Q678">
            <v>0.18285714285714286</v>
          </cell>
          <cell r="R678">
            <v>0.99940828402366866</v>
          </cell>
          <cell r="S678">
            <v>0</v>
          </cell>
          <cell r="T678">
            <v>0</v>
          </cell>
          <cell r="U678">
            <v>0.25</v>
          </cell>
          <cell r="V678">
            <v>0.5</v>
          </cell>
        </row>
        <row r="679">
          <cell r="Q679">
            <v>0.18285714285714286</v>
          </cell>
          <cell r="R679">
            <v>0.99940828402366866</v>
          </cell>
          <cell r="S679">
            <v>0</v>
          </cell>
          <cell r="T679">
            <v>0</v>
          </cell>
          <cell r="U679">
            <v>0.25</v>
          </cell>
          <cell r="V679">
            <v>0.5</v>
          </cell>
        </row>
        <row r="680">
          <cell r="Q680">
            <v>0.18285714285714286</v>
          </cell>
          <cell r="R680">
            <v>0.99940828402366866</v>
          </cell>
          <cell r="S680">
            <v>0</v>
          </cell>
          <cell r="T680">
            <v>0</v>
          </cell>
          <cell r="U680">
            <v>0.75</v>
          </cell>
          <cell r="V680">
            <v>0</v>
          </cell>
        </row>
        <row r="681">
          <cell r="Q681">
            <v>0.18285714285714286</v>
          </cell>
          <cell r="R681">
            <v>0.99940828402366866</v>
          </cell>
          <cell r="S681">
            <v>0</v>
          </cell>
          <cell r="T681">
            <v>0</v>
          </cell>
          <cell r="U681">
            <v>0.75</v>
          </cell>
          <cell r="V681">
            <v>0</v>
          </cell>
        </row>
        <row r="682">
          <cell r="Q682">
            <v>0.18285714285714286</v>
          </cell>
          <cell r="R682">
            <v>0.99940828402366866</v>
          </cell>
          <cell r="S682">
            <v>0</v>
          </cell>
          <cell r="T682">
            <v>0</v>
          </cell>
          <cell r="U682">
            <v>0.75</v>
          </cell>
          <cell r="V682">
            <v>0</v>
          </cell>
        </row>
        <row r="683">
          <cell r="Q683">
            <v>0.18</v>
          </cell>
          <cell r="R683">
            <v>0.99940828402366866</v>
          </cell>
          <cell r="S683">
            <v>0</v>
          </cell>
          <cell r="T683">
            <v>1.4844804318488529E-2</v>
          </cell>
          <cell r="U683">
            <v>0.75</v>
          </cell>
          <cell r="V683">
            <v>0</v>
          </cell>
        </row>
        <row r="684">
          <cell r="Q684">
            <v>9.1428571428571428E-2</v>
          </cell>
          <cell r="R684">
            <v>0.99940828402366866</v>
          </cell>
          <cell r="S684">
            <v>0</v>
          </cell>
          <cell r="T684">
            <v>0</v>
          </cell>
          <cell r="U684">
            <v>0.75</v>
          </cell>
          <cell r="V684">
            <v>0.18174474959612277</v>
          </cell>
        </row>
        <row r="685">
          <cell r="Q685">
            <v>8.8571428571428565E-2</v>
          </cell>
          <cell r="R685">
            <v>0.99940828402366866</v>
          </cell>
          <cell r="S685">
            <v>0</v>
          </cell>
          <cell r="T685">
            <v>0.56233371341695171</v>
          </cell>
          <cell r="U685">
            <v>0.75</v>
          </cell>
          <cell r="V685">
            <v>0</v>
          </cell>
        </row>
        <row r="686">
          <cell r="Q686">
            <v>0.14000000000000001</v>
          </cell>
          <cell r="R686">
            <v>0.99940828402366866</v>
          </cell>
          <cell r="S686">
            <v>1</v>
          </cell>
          <cell r="T686">
            <v>0</v>
          </cell>
          <cell r="U686">
            <v>0.5</v>
          </cell>
          <cell r="V686">
            <v>0</v>
          </cell>
        </row>
        <row r="687">
          <cell r="Q687">
            <v>0.14000000000000001</v>
          </cell>
          <cell r="R687">
            <v>0.99940828402366866</v>
          </cell>
          <cell r="S687">
            <v>0</v>
          </cell>
          <cell r="T687">
            <v>1</v>
          </cell>
          <cell r="U687">
            <v>0.5</v>
          </cell>
          <cell r="V687">
            <v>0</v>
          </cell>
        </row>
        <row r="688">
          <cell r="Q688">
            <v>0.43142857142857144</v>
          </cell>
          <cell r="R688">
            <v>0.99940828402366866</v>
          </cell>
          <cell r="S688">
            <v>0</v>
          </cell>
          <cell r="T688">
            <v>0</v>
          </cell>
          <cell r="U688">
            <v>0.25</v>
          </cell>
          <cell r="V688">
            <v>0</v>
          </cell>
        </row>
        <row r="689">
          <cell r="Q689">
            <v>0.18</v>
          </cell>
          <cell r="R689">
            <v>0.99940828402366866</v>
          </cell>
          <cell r="S689">
            <v>0</v>
          </cell>
          <cell r="T689">
            <v>5.6603773584905656E-3</v>
          </cell>
          <cell r="U689">
            <v>0.75</v>
          </cell>
          <cell r="V689">
            <v>0</v>
          </cell>
        </row>
        <row r="690">
          <cell r="Q690">
            <v>0.30571428571428572</v>
          </cell>
          <cell r="R690">
            <v>0.99940828402366866</v>
          </cell>
          <cell r="S690">
            <v>0</v>
          </cell>
          <cell r="T690">
            <v>0</v>
          </cell>
          <cell r="U690">
            <v>0.5</v>
          </cell>
          <cell r="V690">
            <v>0</v>
          </cell>
        </row>
        <row r="691">
          <cell r="Q691">
            <v>0.18</v>
          </cell>
          <cell r="R691">
            <v>0.99940828402366866</v>
          </cell>
          <cell r="S691">
            <v>0</v>
          </cell>
          <cell r="T691">
            <v>3.7551633496057078E-4</v>
          </cell>
          <cell r="U691">
            <v>0.75</v>
          </cell>
          <cell r="V691">
            <v>0</v>
          </cell>
        </row>
        <row r="692">
          <cell r="Q692">
            <v>0.14285714285714285</v>
          </cell>
          <cell r="R692">
            <v>0.99940828402366866</v>
          </cell>
          <cell r="S692">
            <v>0</v>
          </cell>
          <cell r="T692">
            <v>0</v>
          </cell>
          <cell r="U692">
            <v>0.75</v>
          </cell>
          <cell r="V692">
            <v>7.4338388343740708E-2</v>
          </cell>
        </row>
        <row r="693">
          <cell r="Q693">
            <v>0.18</v>
          </cell>
          <cell r="R693">
            <v>0.99940828402366866</v>
          </cell>
          <cell r="S693">
            <v>0</v>
          </cell>
          <cell r="T693">
            <v>0</v>
          </cell>
          <cell r="U693">
            <v>0.75</v>
          </cell>
          <cell r="V693">
            <v>0</v>
          </cell>
        </row>
        <row r="694">
          <cell r="Q694">
            <v>0.18</v>
          </cell>
          <cell r="R694">
            <v>0.99940828402366866</v>
          </cell>
          <cell r="S694">
            <v>0</v>
          </cell>
          <cell r="T694">
            <v>0</v>
          </cell>
          <cell r="U694">
            <v>0.75</v>
          </cell>
          <cell r="V694">
            <v>0</v>
          </cell>
        </row>
        <row r="695">
          <cell r="Q695">
            <v>0.18</v>
          </cell>
          <cell r="R695">
            <v>0.99940828402366866</v>
          </cell>
          <cell r="S695">
            <v>0</v>
          </cell>
          <cell r="T695">
            <v>0</v>
          </cell>
          <cell r="U695">
            <v>0.75</v>
          </cell>
          <cell r="V695">
            <v>0</v>
          </cell>
        </row>
        <row r="696">
          <cell r="Q696">
            <v>0.18</v>
          </cell>
          <cell r="R696">
            <v>0.99940828402366866</v>
          </cell>
          <cell r="S696">
            <v>0</v>
          </cell>
          <cell r="T696">
            <v>0</v>
          </cell>
          <cell r="U696">
            <v>0.75</v>
          </cell>
          <cell r="V696">
            <v>0</v>
          </cell>
        </row>
        <row r="697">
          <cell r="Q697">
            <v>0.16</v>
          </cell>
          <cell r="R697">
            <v>0.99940828402366866</v>
          </cell>
          <cell r="S697">
            <v>0</v>
          </cell>
          <cell r="T697">
            <v>0</v>
          </cell>
          <cell r="U697">
            <v>0.75</v>
          </cell>
          <cell r="V697">
            <v>3.884892086330935E-2</v>
          </cell>
        </row>
        <row r="698">
          <cell r="Q698">
            <v>5.4285714285714284E-2</v>
          </cell>
          <cell r="R698">
            <v>0.99940828402366866</v>
          </cell>
          <cell r="S698">
            <v>0</v>
          </cell>
          <cell r="T698">
            <v>0</v>
          </cell>
          <cell r="U698">
            <v>1</v>
          </cell>
          <cell r="V698">
            <v>0</v>
          </cell>
        </row>
        <row r="699">
          <cell r="Q699">
            <v>5.4285714285714284E-2</v>
          </cell>
          <cell r="R699">
            <v>0.99940828402366866</v>
          </cell>
          <cell r="S699">
            <v>0</v>
          </cell>
          <cell r="T699">
            <v>0</v>
          </cell>
          <cell r="U699">
            <v>1</v>
          </cell>
          <cell r="V699">
            <v>0</v>
          </cell>
        </row>
        <row r="700">
          <cell r="Q700">
            <v>0.15428571428571428</v>
          </cell>
          <cell r="R700">
            <v>0.99940828402366866</v>
          </cell>
          <cell r="S700">
            <v>0</v>
          </cell>
          <cell r="T700">
            <v>0.14857142857142858</v>
          </cell>
          <cell r="U700">
            <v>0</v>
          </cell>
          <cell r="V700">
            <v>0.75</v>
          </cell>
        </row>
        <row r="701">
          <cell r="Q701">
            <v>0.17714285714285713</v>
          </cell>
          <cell r="R701">
            <v>0.99940828402366866</v>
          </cell>
          <cell r="S701">
            <v>0</v>
          </cell>
          <cell r="T701">
            <v>0</v>
          </cell>
          <cell r="U701">
            <v>0.75</v>
          </cell>
          <cell r="V701">
            <v>0</v>
          </cell>
        </row>
        <row r="702">
          <cell r="Q702">
            <v>0.17714285714285713</v>
          </cell>
          <cell r="R702">
            <v>0.99940828402366866</v>
          </cell>
          <cell r="S702">
            <v>0</v>
          </cell>
          <cell r="T702">
            <v>0</v>
          </cell>
          <cell r="U702">
            <v>0.75</v>
          </cell>
          <cell r="V702">
            <v>0</v>
          </cell>
        </row>
        <row r="703">
          <cell r="Q703">
            <v>0.42285714285714288</v>
          </cell>
          <cell r="R703">
            <v>0.99940828402366866</v>
          </cell>
          <cell r="S703">
            <v>0</v>
          </cell>
          <cell r="T703">
            <v>2.5461807289066399E-2</v>
          </cell>
          <cell r="U703">
            <v>0.25</v>
          </cell>
          <cell r="V703">
            <v>0</v>
          </cell>
        </row>
        <row r="704">
          <cell r="Q704">
            <v>5.1428571428571428E-2</v>
          </cell>
          <cell r="R704">
            <v>0.99940828402366866</v>
          </cell>
          <cell r="S704">
            <v>0</v>
          </cell>
          <cell r="T704">
            <v>0</v>
          </cell>
          <cell r="U704">
            <v>1</v>
          </cell>
          <cell r="V704">
            <v>0</v>
          </cell>
        </row>
        <row r="705">
          <cell r="Q705">
            <v>4.5714285714285714E-2</v>
          </cell>
          <cell r="R705">
            <v>0.99940828402366866</v>
          </cell>
          <cell r="S705">
            <v>0</v>
          </cell>
          <cell r="T705">
            <v>0</v>
          </cell>
          <cell r="U705">
            <v>1</v>
          </cell>
          <cell r="V705">
            <v>8.8401697312588401E-3</v>
          </cell>
        </row>
        <row r="706">
          <cell r="Q706">
            <v>0.1</v>
          </cell>
          <cell r="R706">
            <v>0.99940828402366866</v>
          </cell>
          <cell r="S706">
            <v>0</v>
          </cell>
          <cell r="T706">
            <v>0.45047829286239882</v>
          </cell>
          <cell r="U706">
            <v>0.75</v>
          </cell>
          <cell r="V706">
            <v>0</v>
          </cell>
        </row>
        <row r="707">
          <cell r="Q707">
            <v>0.12857142857142856</v>
          </cell>
          <cell r="R707">
            <v>0.99940828402366866</v>
          </cell>
          <cell r="S707">
            <v>0</v>
          </cell>
          <cell r="T707">
            <v>0</v>
          </cell>
          <cell r="U707">
            <v>0.25</v>
          </cell>
          <cell r="V707">
            <v>0.59259259259259256</v>
          </cell>
        </row>
        <row r="708">
          <cell r="Q708">
            <v>0.17428571428571429</v>
          </cell>
          <cell r="R708">
            <v>0.99940828402366866</v>
          </cell>
          <cell r="S708">
            <v>0</v>
          </cell>
          <cell r="T708">
            <v>0</v>
          </cell>
          <cell r="U708">
            <v>0.75</v>
          </cell>
          <cell r="V708">
            <v>0</v>
          </cell>
        </row>
        <row r="709">
          <cell r="Q709">
            <v>0.12</v>
          </cell>
          <cell r="R709">
            <v>0.99940828402366866</v>
          </cell>
          <cell r="S709">
            <v>0</v>
          </cell>
          <cell r="T709">
            <v>0.32479338842975208</v>
          </cell>
          <cell r="U709">
            <v>0.75</v>
          </cell>
          <cell r="V709">
            <v>0</v>
          </cell>
        </row>
        <row r="710">
          <cell r="Q710">
            <v>0.25714285714285712</v>
          </cell>
          <cell r="R710">
            <v>0.99940828402366866</v>
          </cell>
          <cell r="S710">
            <v>1</v>
          </cell>
          <cell r="T710">
            <v>0</v>
          </cell>
          <cell r="U710">
            <v>0.25</v>
          </cell>
          <cell r="V710">
            <v>0</v>
          </cell>
        </row>
        <row r="711">
          <cell r="Q711">
            <v>0.25714285714285712</v>
          </cell>
          <cell r="R711">
            <v>0.99940828402366866</v>
          </cell>
          <cell r="S711">
            <v>1</v>
          </cell>
          <cell r="T711">
            <v>0</v>
          </cell>
          <cell r="U711">
            <v>0.25</v>
          </cell>
          <cell r="V711">
            <v>0</v>
          </cell>
        </row>
        <row r="712">
          <cell r="Q712">
            <v>4.8571428571428571E-2</v>
          </cell>
          <cell r="R712">
            <v>0.99940828402366866</v>
          </cell>
          <cell r="S712">
            <v>0</v>
          </cell>
          <cell r="T712">
            <v>0</v>
          </cell>
          <cell r="U712">
            <v>1</v>
          </cell>
          <cell r="V712">
            <v>0</v>
          </cell>
        </row>
        <row r="713">
          <cell r="Q713">
            <v>0.04</v>
          </cell>
          <cell r="R713">
            <v>0.99940828402366866</v>
          </cell>
          <cell r="S713">
            <v>0</v>
          </cell>
          <cell r="T713">
            <v>4.3333333333333335E-2</v>
          </cell>
          <cell r="U713">
            <v>1</v>
          </cell>
          <cell r="V713">
            <v>0</v>
          </cell>
        </row>
        <row r="714">
          <cell r="Q714">
            <v>6.2857142857142861E-2</v>
          </cell>
          <cell r="R714">
            <v>0.99940828402366866</v>
          </cell>
          <cell r="S714">
            <v>0</v>
          </cell>
          <cell r="T714">
            <v>0</v>
          </cell>
          <cell r="U714">
            <v>0.75</v>
          </cell>
          <cell r="V714">
            <v>0.21734104046242775</v>
          </cell>
        </row>
        <row r="715">
          <cell r="Q715">
            <v>0.17142857142857143</v>
          </cell>
          <cell r="R715">
            <v>0.99940828402366866</v>
          </cell>
          <cell r="S715">
            <v>0</v>
          </cell>
          <cell r="T715">
            <v>0</v>
          </cell>
          <cell r="U715">
            <v>0.75</v>
          </cell>
          <cell r="V715">
            <v>0</v>
          </cell>
        </row>
        <row r="716">
          <cell r="Q716">
            <v>0.17142857142857143</v>
          </cell>
          <cell r="R716">
            <v>0.99940828402366866</v>
          </cell>
          <cell r="S716">
            <v>0</v>
          </cell>
          <cell r="T716">
            <v>0</v>
          </cell>
          <cell r="U716">
            <v>0.75</v>
          </cell>
          <cell r="V716">
            <v>0</v>
          </cell>
        </row>
        <row r="717">
          <cell r="Q717">
            <v>0.17142857142857143</v>
          </cell>
          <cell r="R717">
            <v>0.99940828402366866</v>
          </cell>
          <cell r="S717">
            <v>0</v>
          </cell>
          <cell r="T717">
            <v>0</v>
          </cell>
          <cell r="U717">
            <v>0.75</v>
          </cell>
          <cell r="V717">
            <v>0</v>
          </cell>
        </row>
        <row r="718">
          <cell r="Q718">
            <v>0.17142857142857143</v>
          </cell>
          <cell r="R718">
            <v>0.99940828402366866</v>
          </cell>
          <cell r="S718">
            <v>0</v>
          </cell>
          <cell r="T718">
            <v>0</v>
          </cell>
          <cell r="U718">
            <v>0.75</v>
          </cell>
          <cell r="V718">
            <v>0</v>
          </cell>
        </row>
        <row r="719">
          <cell r="Q719">
            <v>0.17142857142857143</v>
          </cell>
          <cell r="R719">
            <v>0.99940828402366866</v>
          </cell>
          <cell r="S719">
            <v>0</v>
          </cell>
          <cell r="T719">
            <v>0</v>
          </cell>
          <cell r="U719">
            <v>0.75</v>
          </cell>
          <cell r="V719">
            <v>0</v>
          </cell>
        </row>
        <row r="720">
          <cell r="Q720">
            <v>4.8571428571428571E-2</v>
          </cell>
          <cell r="R720">
            <v>0.99940828402366866</v>
          </cell>
          <cell r="S720">
            <v>0</v>
          </cell>
          <cell r="T720">
            <v>0.73466257668711654</v>
          </cell>
          <cell r="U720">
            <v>0.75</v>
          </cell>
          <cell r="V720">
            <v>0</v>
          </cell>
        </row>
        <row r="721">
          <cell r="Q721">
            <v>4.5714285714285714E-2</v>
          </cell>
          <cell r="R721">
            <v>0.99940828402366866</v>
          </cell>
          <cell r="S721">
            <v>0</v>
          </cell>
          <cell r="T721">
            <v>0</v>
          </cell>
          <cell r="U721">
            <v>1</v>
          </cell>
          <cell r="V721">
            <v>0</v>
          </cell>
        </row>
        <row r="722">
          <cell r="Q722">
            <v>4.5714285714285714E-2</v>
          </cell>
          <cell r="R722">
            <v>0.99940828402366866</v>
          </cell>
          <cell r="S722">
            <v>0</v>
          </cell>
          <cell r="T722">
            <v>0</v>
          </cell>
          <cell r="U722">
            <v>1</v>
          </cell>
          <cell r="V722">
            <v>0</v>
          </cell>
        </row>
        <row r="723">
          <cell r="Q723">
            <v>0.12857142857142856</v>
          </cell>
          <cell r="R723">
            <v>0.99940828402366866</v>
          </cell>
          <cell r="S723">
            <v>1</v>
          </cell>
          <cell r="T723">
            <v>0</v>
          </cell>
          <cell r="U723">
            <v>0.5</v>
          </cell>
          <cell r="V723">
            <v>0</v>
          </cell>
        </row>
        <row r="724">
          <cell r="Q724">
            <v>0.12857142857142856</v>
          </cell>
          <cell r="R724">
            <v>0.99940828402366866</v>
          </cell>
          <cell r="S724">
            <v>0</v>
          </cell>
          <cell r="T724">
            <v>0.99942709825264964</v>
          </cell>
          <cell r="U724">
            <v>0.5</v>
          </cell>
          <cell r="V724">
            <v>0</v>
          </cell>
        </row>
        <row r="725">
          <cell r="Q725">
            <v>4.2857142857142858E-2</v>
          </cell>
          <cell r="R725">
            <v>0.99940828402366866</v>
          </cell>
          <cell r="S725">
            <v>0</v>
          </cell>
          <cell r="T725">
            <v>0</v>
          </cell>
          <cell r="U725">
            <v>1</v>
          </cell>
          <cell r="V725">
            <v>0</v>
          </cell>
        </row>
        <row r="726">
          <cell r="Q726">
            <v>4.2857142857142858E-2</v>
          </cell>
          <cell r="R726">
            <v>0.99940828402366866</v>
          </cell>
          <cell r="S726">
            <v>0</v>
          </cell>
          <cell r="T726">
            <v>0</v>
          </cell>
          <cell r="U726">
            <v>1</v>
          </cell>
          <cell r="V726">
            <v>0</v>
          </cell>
        </row>
        <row r="727">
          <cell r="Q727">
            <v>0.16</v>
          </cell>
          <cell r="R727">
            <v>0.99940828402366866</v>
          </cell>
          <cell r="S727">
            <v>0</v>
          </cell>
          <cell r="T727">
            <v>4.7004608294930875E-2</v>
          </cell>
          <cell r="U727">
            <v>0.75</v>
          </cell>
          <cell r="V727">
            <v>0</v>
          </cell>
        </row>
        <row r="728">
          <cell r="Q728">
            <v>0.12571428571428572</v>
          </cell>
          <cell r="R728">
            <v>0.99940828402366866</v>
          </cell>
          <cell r="S728">
            <v>1</v>
          </cell>
          <cell r="T728">
            <v>0</v>
          </cell>
          <cell r="U728">
            <v>0.5</v>
          </cell>
          <cell r="V728">
            <v>0</v>
          </cell>
        </row>
        <row r="729">
          <cell r="Q729">
            <v>0.12571428571428572</v>
          </cell>
          <cell r="R729">
            <v>0.99940828402366866</v>
          </cell>
          <cell r="S729">
            <v>1</v>
          </cell>
          <cell r="T729">
            <v>0</v>
          </cell>
          <cell r="U729">
            <v>0.5</v>
          </cell>
          <cell r="V729">
            <v>0</v>
          </cell>
        </row>
        <row r="730">
          <cell r="Q730">
            <v>0.12571428571428572</v>
          </cell>
          <cell r="R730">
            <v>0.99940828402366866</v>
          </cell>
          <cell r="S730">
            <v>1</v>
          </cell>
          <cell r="T730">
            <v>0</v>
          </cell>
          <cell r="U730">
            <v>0.5</v>
          </cell>
          <cell r="V730">
            <v>0</v>
          </cell>
        </row>
        <row r="731">
          <cell r="Q731">
            <v>0.12571428571428572</v>
          </cell>
          <cell r="R731">
            <v>0.99940828402366866</v>
          </cell>
          <cell r="S731">
            <v>1</v>
          </cell>
          <cell r="T731">
            <v>0</v>
          </cell>
          <cell r="U731">
            <v>0.5</v>
          </cell>
          <cell r="V731">
            <v>0</v>
          </cell>
        </row>
        <row r="732">
          <cell r="Q732">
            <v>0.12571428571428572</v>
          </cell>
          <cell r="R732">
            <v>0.99940828402366866</v>
          </cell>
          <cell r="S732">
            <v>1</v>
          </cell>
          <cell r="T732">
            <v>0</v>
          </cell>
          <cell r="U732">
            <v>0.5</v>
          </cell>
          <cell r="V732">
            <v>0</v>
          </cell>
        </row>
        <row r="733">
          <cell r="Q733">
            <v>0.12571428571428572</v>
          </cell>
          <cell r="R733">
            <v>0.99940828402366866</v>
          </cell>
          <cell r="S733">
            <v>1</v>
          </cell>
          <cell r="T733">
            <v>0</v>
          </cell>
          <cell r="U733">
            <v>0.5</v>
          </cell>
          <cell r="V733">
            <v>0</v>
          </cell>
        </row>
        <row r="734">
          <cell r="Q734">
            <v>0.15142857142857144</v>
          </cell>
          <cell r="R734">
            <v>0.99940828402366866</v>
          </cell>
          <cell r="S734">
            <v>0</v>
          </cell>
          <cell r="T734">
            <v>0</v>
          </cell>
          <cell r="U734">
            <v>0.75</v>
          </cell>
          <cell r="V734">
            <v>3.0263290628467669E-2</v>
          </cell>
        </row>
        <row r="735">
          <cell r="Q735">
            <v>0.29142857142857143</v>
          </cell>
          <cell r="R735">
            <v>0.99940828402366866</v>
          </cell>
          <cell r="S735">
            <v>0</v>
          </cell>
          <cell r="T735">
            <v>0</v>
          </cell>
          <cell r="U735">
            <v>0.5</v>
          </cell>
          <cell r="V735">
            <v>0</v>
          </cell>
        </row>
        <row r="736">
          <cell r="Q736">
            <v>0.29142857142857143</v>
          </cell>
          <cell r="R736">
            <v>0.99940828402366866</v>
          </cell>
          <cell r="S736">
            <v>0</v>
          </cell>
          <cell r="T736">
            <v>0</v>
          </cell>
          <cell r="U736">
            <v>0.5</v>
          </cell>
          <cell r="V736">
            <v>0</v>
          </cell>
        </row>
        <row r="737">
          <cell r="Q737">
            <v>0.1657142857142857</v>
          </cell>
          <cell r="R737">
            <v>0.99940828402366866</v>
          </cell>
          <cell r="S737">
            <v>0</v>
          </cell>
          <cell r="T737">
            <v>0</v>
          </cell>
          <cell r="U737">
            <v>0.75</v>
          </cell>
          <cell r="V737">
            <v>0</v>
          </cell>
        </row>
        <row r="738">
          <cell r="Q738">
            <v>0.1657142857142857</v>
          </cell>
          <cell r="R738">
            <v>0.99940828402366866</v>
          </cell>
          <cell r="S738">
            <v>0</v>
          </cell>
          <cell r="T738">
            <v>0</v>
          </cell>
          <cell r="U738">
            <v>0.75</v>
          </cell>
          <cell r="V738">
            <v>0</v>
          </cell>
        </row>
        <row r="739">
          <cell r="Q739">
            <v>0.1657142857142857</v>
          </cell>
          <cell r="R739">
            <v>0.99940828402366866</v>
          </cell>
          <cell r="S739">
            <v>0</v>
          </cell>
          <cell r="T739">
            <v>0</v>
          </cell>
          <cell r="U739">
            <v>0.75</v>
          </cell>
          <cell r="V739">
            <v>0</v>
          </cell>
        </row>
        <row r="740">
          <cell r="Q740">
            <v>0.1657142857142857</v>
          </cell>
          <cell r="R740">
            <v>0.99940828402366866</v>
          </cell>
          <cell r="S740">
            <v>0</v>
          </cell>
          <cell r="T740">
            <v>0</v>
          </cell>
          <cell r="U740">
            <v>0.75</v>
          </cell>
          <cell r="V740">
            <v>0</v>
          </cell>
        </row>
        <row r="741">
          <cell r="Q741">
            <v>0.24857142857142858</v>
          </cell>
          <cell r="R741">
            <v>0.99940828402366866</v>
          </cell>
          <cell r="S741">
            <v>1</v>
          </cell>
          <cell r="T741">
            <v>0</v>
          </cell>
          <cell r="U741">
            <v>0.25</v>
          </cell>
          <cell r="V741">
            <v>0</v>
          </cell>
        </row>
        <row r="742">
          <cell r="Q742">
            <v>0.24857142857142858</v>
          </cell>
          <cell r="R742">
            <v>0.99940828402366866</v>
          </cell>
          <cell r="S742">
            <v>1</v>
          </cell>
          <cell r="T742">
            <v>0</v>
          </cell>
          <cell r="U742">
            <v>0.25</v>
          </cell>
          <cell r="V742">
            <v>0</v>
          </cell>
        </row>
        <row r="743">
          <cell r="Q743">
            <v>0.24857142857142858</v>
          </cell>
          <cell r="R743">
            <v>0.99940828402366866</v>
          </cell>
          <cell r="S743">
            <v>1</v>
          </cell>
          <cell r="T743">
            <v>0</v>
          </cell>
          <cell r="U743">
            <v>0.25</v>
          </cell>
          <cell r="V743">
            <v>0</v>
          </cell>
        </row>
        <row r="744">
          <cell r="Q744">
            <v>0.24857142857142858</v>
          </cell>
          <cell r="R744">
            <v>0.99940828402366866</v>
          </cell>
          <cell r="S744">
            <v>1</v>
          </cell>
          <cell r="T744">
            <v>0</v>
          </cell>
          <cell r="U744">
            <v>0.25</v>
          </cell>
          <cell r="V744">
            <v>0</v>
          </cell>
        </row>
        <row r="745">
          <cell r="Q745">
            <v>0.24857142857142858</v>
          </cell>
          <cell r="R745">
            <v>0.99940828402366866</v>
          </cell>
          <cell r="S745">
            <v>1</v>
          </cell>
          <cell r="T745">
            <v>0</v>
          </cell>
          <cell r="U745">
            <v>0.25</v>
          </cell>
          <cell r="V745">
            <v>0</v>
          </cell>
        </row>
        <row r="746">
          <cell r="Q746">
            <v>0.04</v>
          </cell>
          <cell r="R746">
            <v>0.99940828402366866</v>
          </cell>
          <cell r="S746">
            <v>0</v>
          </cell>
          <cell r="T746">
            <v>0</v>
          </cell>
          <cell r="U746">
            <v>1</v>
          </cell>
          <cell r="V746">
            <v>0</v>
          </cell>
        </row>
        <row r="747">
          <cell r="Q747">
            <v>0.04</v>
          </cell>
          <cell r="R747">
            <v>0.99940828402366866</v>
          </cell>
          <cell r="S747">
            <v>0</v>
          </cell>
          <cell r="T747">
            <v>0</v>
          </cell>
          <cell r="U747">
            <v>1</v>
          </cell>
          <cell r="V747">
            <v>0</v>
          </cell>
        </row>
        <row r="748">
          <cell r="Q748">
            <v>0.04</v>
          </cell>
          <cell r="R748">
            <v>0.99940828402366866</v>
          </cell>
          <cell r="S748">
            <v>0</v>
          </cell>
          <cell r="T748">
            <v>0</v>
          </cell>
          <cell r="U748">
            <v>1</v>
          </cell>
          <cell r="V748">
            <v>0</v>
          </cell>
        </row>
        <row r="749">
          <cell r="Q749">
            <v>0.16285714285714287</v>
          </cell>
          <cell r="R749">
            <v>0.99940828402366866</v>
          </cell>
          <cell r="S749">
            <v>0</v>
          </cell>
          <cell r="T749">
            <v>0</v>
          </cell>
          <cell r="U749">
            <v>0.75</v>
          </cell>
          <cell r="V749">
            <v>0</v>
          </cell>
        </row>
        <row r="750">
          <cell r="Q750">
            <v>0.16285714285714287</v>
          </cell>
          <cell r="R750">
            <v>0.99940828402366866</v>
          </cell>
          <cell r="S750">
            <v>0</v>
          </cell>
          <cell r="T750">
            <v>0</v>
          </cell>
          <cell r="U750">
            <v>0.75</v>
          </cell>
          <cell r="V750">
            <v>0</v>
          </cell>
        </row>
        <row r="751">
          <cell r="Q751">
            <v>0.24571428571428572</v>
          </cell>
          <cell r="R751">
            <v>0.99940828402366866</v>
          </cell>
          <cell r="S751">
            <v>0</v>
          </cell>
          <cell r="T751">
            <v>1</v>
          </cell>
          <cell r="U751">
            <v>0.25</v>
          </cell>
          <cell r="V751">
            <v>0</v>
          </cell>
        </row>
        <row r="752">
          <cell r="Q752">
            <v>0.24571428571428572</v>
          </cell>
          <cell r="R752">
            <v>0.99940828402366866</v>
          </cell>
          <cell r="S752">
            <v>0</v>
          </cell>
          <cell r="T752">
            <v>1</v>
          </cell>
          <cell r="U752">
            <v>0.25</v>
          </cell>
          <cell r="V752">
            <v>0</v>
          </cell>
        </row>
        <row r="753">
          <cell r="Q753">
            <v>0.13714285714285715</v>
          </cell>
          <cell r="R753">
            <v>0.99940828402366866</v>
          </cell>
          <cell r="S753">
            <v>0</v>
          </cell>
          <cell r="T753">
            <v>0</v>
          </cell>
          <cell r="U753">
            <v>0.25</v>
          </cell>
          <cell r="V753">
            <v>0.55000000000000004</v>
          </cell>
        </row>
        <row r="754">
          <cell r="Q754">
            <v>0.12</v>
          </cell>
          <cell r="R754">
            <v>0.99940828402366866</v>
          </cell>
          <cell r="S754">
            <v>0</v>
          </cell>
          <cell r="T754">
            <v>1</v>
          </cell>
          <cell r="U754">
            <v>0.5</v>
          </cell>
          <cell r="V754">
            <v>0</v>
          </cell>
        </row>
        <row r="755">
          <cell r="Q755">
            <v>0.12</v>
          </cell>
          <cell r="R755">
            <v>0.99940828402366866</v>
          </cell>
          <cell r="S755">
            <v>1</v>
          </cell>
          <cell r="T755">
            <v>0</v>
          </cell>
          <cell r="U755">
            <v>0.5</v>
          </cell>
          <cell r="V755">
            <v>0</v>
          </cell>
        </row>
        <row r="756">
          <cell r="Q756">
            <v>3.1428571428571431E-2</v>
          </cell>
          <cell r="R756">
            <v>0.99940828402366866</v>
          </cell>
          <cell r="S756">
            <v>0</v>
          </cell>
          <cell r="T756">
            <v>3.1411359724612738E-2</v>
          </cell>
          <cell r="U756">
            <v>1</v>
          </cell>
          <cell r="V756">
            <v>0</v>
          </cell>
        </row>
        <row r="757">
          <cell r="Q757">
            <v>0.22285714285714286</v>
          </cell>
          <cell r="R757">
            <v>0.99940828402366866</v>
          </cell>
          <cell r="S757">
            <v>1</v>
          </cell>
          <cell r="T757">
            <v>2.2927891780350797E-4</v>
          </cell>
          <cell r="U757">
            <v>0.25</v>
          </cell>
          <cell r="V757">
            <v>4.3562994382666517E-2</v>
          </cell>
        </row>
        <row r="758">
          <cell r="Q758">
            <v>0.27142857142857141</v>
          </cell>
          <cell r="R758">
            <v>0.99940828402366866</v>
          </cell>
          <cell r="S758">
            <v>0</v>
          </cell>
          <cell r="T758">
            <v>8.6999999999999994E-2</v>
          </cell>
          <cell r="U758">
            <v>0.5</v>
          </cell>
          <cell r="V758">
            <v>0</v>
          </cell>
        </row>
        <row r="759">
          <cell r="Q759">
            <v>0.16</v>
          </cell>
          <cell r="R759">
            <v>0.99940828402366866</v>
          </cell>
          <cell r="S759">
            <v>0</v>
          </cell>
          <cell r="T759">
            <v>0</v>
          </cell>
          <cell r="U759">
            <v>0.75</v>
          </cell>
          <cell r="V759">
            <v>0</v>
          </cell>
        </row>
        <row r="760">
          <cell r="Q760">
            <v>0.16</v>
          </cell>
          <cell r="R760">
            <v>0.99940828402366866</v>
          </cell>
          <cell r="S760">
            <v>0</v>
          </cell>
          <cell r="T760">
            <v>0</v>
          </cell>
          <cell r="U760">
            <v>0.75</v>
          </cell>
          <cell r="V760">
            <v>0</v>
          </cell>
        </row>
        <row r="761">
          <cell r="Q761">
            <v>0.28000000000000003</v>
          </cell>
          <cell r="R761">
            <v>0.99940828402366866</v>
          </cell>
          <cell r="S761">
            <v>0</v>
          </cell>
          <cell r="T761">
            <v>2.2828784119106701E-2</v>
          </cell>
          <cell r="U761">
            <v>0.5</v>
          </cell>
          <cell r="V761">
            <v>0</v>
          </cell>
        </row>
        <row r="762">
          <cell r="Q762">
            <v>0.12285714285714286</v>
          </cell>
          <cell r="R762">
            <v>0.99940828402366866</v>
          </cell>
          <cell r="S762">
            <v>0</v>
          </cell>
          <cell r="T762">
            <v>0</v>
          </cell>
          <cell r="U762">
            <v>0.75</v>
          </cell>
          <cell r="V762">
            <v>7.1684587813620068E-2</v>
          </cell>
        </row>
        <row r="763">
          <cell r="Q763">
            <v>5.7142857142857141E-2</v>
          </cell>
          <cell r="R763">
            <v>0.99940828402366866</v>
          </cell>
          <cell r="S763">
            <v>0</v>
          </cell>
          <cell r="T763">
            <v>0</v>
          </cell>
          <cell r="U763">
            <v>0.25</v>
          </cell>
          <cell r="V763">
            <v>0.7009345794392523</v>
          </cell>
        </row>
        <row r="764">
          <cell r="Q764">
            <v>0.15714285714285714</v>
          </cell>
          <cell r="R764">
            <v>0.99940828402366866</v>
          </cell>
          <cell r="S764">
            <v>0</v>
          </cell>
          <cell r="T764">
            <v>0</v>
          </cell>
          <cell r="U764">
            <v>0.75</v>
          </cell>
          <cell r="V764">
            <v>0</v>
          </cell>
        </row>
        <row r="765">
          <cell r="Q765">
            <v>9.1428571428571428E-2</v>
          </cell>
          <cell r="R765">
            <v>0.99940828402366866</v>
          </cell>
          <cell r="S765">
            <v>0</v>
          </cell>
          <cell r="T765">
            <v>0</v>
          </cell>
          <cell r="U765">
            <v>0.75</v>
          </cell>
          <cell r="V765">
            <v>0.13051736613603473</v>
          </cell>
        </row>
        <row r="766">
          <cell r="Q766">
            <v>0.02</v>
          </cell>
          <cell r="R766">
            <v>0.99940828402366866</v>
          </cell>
          <cell r="S766">
            <v>0</v>
          </cell>
          <cell r="T766">
            <v>7.0052539404553416E-2</v>
          </cell>
          <cell r="U766">
            <v>1</v>
          </cell>
          <cell r="V766">
            <v>0</v>
          </cell>
        </row>
        <row r="767">
          <cell r="Q767">
            <v>3.1428571428571431E-2</v>
          </cell>
          <cell r="R767">
            <v>0.99940828402366866</v>
          </cell>
          <cell r="S767">
            <v>0</v>
          </cell>
          <cell r="T767">
            <v>0</v>
          </cell>
          <cell r="U767">
            <v>1</v>
          </cell>
          <cell r="V767">
            <v>0</v>
          </cell>
        </row>
        <row r="768">
          <cell r="Q768">
            <v>0.13714285714285715</v>
          </cell>
          <cell r="R768">
            <v>0.99940828402366866</v>
          </cell>
          <cell r="S768">
            <v>0</v>
          </cell>
          <cell r="T768">
            <v>0</v>
          </cell>
          <cell r="U768">
            <v>0.75</v>
          </cell>
          <cell r="V768">
            <v>3.834355828220859E-2</v>
          </cell>
        </row>
        <row r="769">
          <cell r="Q769">
            <v>0.11428571428571428</v>
          </cell>
          <cell r="R769">
            <v>0.99940828402366866</v>
          </cell>
          <cell r="S769">
            <v>0</v>
          </cell>
          <cell r="T769">
            <v>1</v>
          </cell>
          <cell r="U769">
            <v>0.5</v>
          </cell>
          <cell r="V769">
            <v>0</v>
          </cell>
        </row>
        <row r="770">
          <cell r="Q770">
            <v>0.11428571428571428</v>
          </cell>
          <cell r="R770">
            <v>0.99940828402366866</v>
          </cell>
          <cell r="S770">
            <v>0</v>
          </cell>
          <cell r="T770">
            <v>1</v>
          </cell>
          <cell r="U770">
            <v>0.5</v>
          </cell>
          <cell r="V770">
            <v>0</v>
          </cell>
        </row>
        <row r="771">
          <cell r="Q771">
            <v>8.2857142857142851E-2</v>
          </cell>
          <cell r="R771">
            <v>0.99940828402366866</v>
          </cell>
          <cell r="S771">
            <v>0</v>
          </cell>
          <cell r="T771">
            <v>0</v>
          </cell>
          <cell r="U771">
            <v>0.75</v>
          </cell>
          <cell r="V771">
            <v>0.14596357705898341</v>
          </cell>
        </row>
        <row r="772">
          <cell r="Q772">
            <v>0.20571428571428571</v>
          </cell>
          <cell r="R772">
            <v>0.99940828402366866</v>
          </cell>
          <cell r="S772">
            <v>0</v>
          </cell>
          <cell r="T772">
            <v>0</v>
          </cell>
          <cell r="U772">
            <v>0.25</v>
          </cell>
          <cell r="V772">
            <v>0.4</v>
          </cell>
        </row>
        <row r="773">
          <cell r="Q773">
            <v>0.21714285714285714</v>
          </cell>
          <cell r="R773">
            <v>0.99940828402366866</v>
          </cell>
          <cell r="S773">
            <v>0</v>
          </cell>
          <cell r="T773">
            <v>3.0844155844155844E-2</v>
          </cell>
          <cell r="U773">
            <v>0.5</v>
          </cell>
          <cell r="V773">
            <v>0.11550949050949051</v>
          </cell>
        </row>
        <row r="774">
          <cell r="Q774">
            <v>0.28000000000000003</v>
          </cell>
          <cell r="R774">
            <v>0.99940828402366866</v>
          </cell>
          <cell r="S774">
            <v>0</v>
          </cell>
          <cell r="T774">
            <v>0</v>
          </cell>
          <cell r="U774">
            <v>0.5</v>
          </cell>
          <cell r="V774">
            <v>0</v>
          </cell>
        </row>
        <row r="775">
          <cell r="Q775">
            <v>0.28000000000000003</v>
          </cell>
          <cell r="R775">
            <v>0.99940828402366866</v>
          </cell>
          <cell r="S775">
            <v>0</v>
          </cell>
          <cell r="T775">
            <v>0</v>
          </cell>
          <cell r="U775">
            <v>0.5</v>
          </cell>
          <cell r="V775">
            <v>0</v>
          </cell>
        </row>
        <row r="776">
          <cell r="Q776">
            <v>0.17714285714285713</v>
          </cell>
          <cell r="R776">
            <v>0.99940828402366866</v>
          </cell>
          <cell r="S776">
            <v>0</v>
          </cell>
          <cell r="T776">
            <v>0</v>
          </cell>
          <cell r="U776">
            <v>0.5</v>
          </cell>
          <cell r="V776">
            <v>0.20537065052950076</v>
          </cell>
        </row>
        <row r="777">
          <cell r="Q777">
            <v>0.20285714285714285</v>
          </cell>
          <cell r="R777">
            <v>0.99940828402366866</v>
          </cell>
          <cell r="S777">
            <v>0</v>
          </cell>
          <cell r="T777">
            <v>0</v>
          </cell>
          <cell r="U777">
            <v>0.5</v>
          </cell>
          <cell r="V777">
            <v>0.15374467221432922</v>
          </cell>
        </row>
        <row r="778">
          <cell r="Q778">
            <v>0.15428571428571428</v>
          </cell>
          <cell r="R778">
            <v>0.99940828402366866</v>
          </cell>
          <cell r="S778">
            <v>0</v>
          </cell>
          <cell r="T778">
            <v>0</v>
          </cell>
          <cell r="U778">
            <v>0</v>
          </cell>
          <cell r="V778">
            <v>0.75</v>
          </cell>
        </row>
        <row r="779">
          <cell r="Q779">
            <v>0.15428571428571428</v>
          </cell>
          <cell r="R779">
            <v>0.99940828402366866</v>
          </cell>
          <cell r="S779">
            <v>0</v>
          </cell>
          <cell r="T779">
            <v>0</v>
          </cell>
          <cell r="U779">
            <v>0.75</v>
          </cell>
          <cell r="V779">
            <v>0</v>
          </cell>
        </row>
        <row r="780">
          <cell r="Q780">
            <v>2.8571428571428571E-2</v>
          </cell>
          <cell r="R780">
            <v>0.99940828402366866</v>
          </cell>
          <cell r="S780">
            <v>0</v>
          </cell>
          <cell r="T780">
            <v>0</v>
          </cell>
          <cell r="U780">
            <v>1</v>
          </cell>
          <cell r="V780">
            <v>0</v>
          </cell>
        </row>
        <row r="781">
          <cell r="Q781">
            <v>0.11142857142857143</v>
          </cell>
          <cell r="R781">
            <v>0.99940828402366866</v>
          </cell>
          <cell r="S781">
            <v>0</v>
          </cell>
          <cell r="T781">
            <v>1</v>
          </cell>
          <cell r="U781">
            <v>0.5</v>
          </cell>
          <cell r="V781">
            <v>0</v>
          </cell>
        </row>
        <row r="782">
          <cell r="Q782">
            <v>0.11142857142857143</v>
          </cell>
          <cell r="R782">
            <v>0.99940828402366866</v>
          </cell>
          <cell r="S782">
            <v>0</v>
          </cell>
          <cell r="T782">
            <v>1</v>
          </cell>
          <cell r="U782">
            <v>0.5</v>
          </cell>
          <cell r="V782">
            <v>0</v>
          </cell>
        </row>
        <row r="783">
          <cell r="Q783">
            <v>0.11142857142857143</v>
          </cell>
          <cell r="R783">
            <v>0.99940828402366866</v>
          </cell>
          <cell r="S783">
            <v>0</v>
          </cell>
          <cell r="T783">
            <v>1</v>
          </cell>
          <cell r="U783">
            <v>0.5</v>
          </cell>
          <cell r="V783">
            <v>0</v>
          </cell>
        </row>
        <row r="784">
          <cell r="Q784">
            <v>0.40285714285714286</v>
          </cell>
          <cell r="R784">
            <v>0.99940828402366866</v>
          </cell>
          <cell r="S784">
            <v>0</v>
          </cell>
          <cell r="T784">
            <v>0</v>
          </cell>
          <cell r="U784">
            <v>0.25</v>
          </cell>
          <cell r="V784">
            <v>0</v>
          </cell>
        </row>
        <row r="785">
          <cell r="Q785">
            <v>0.27714285714285714</v>
          </cell>
          <cell r="R785">
            <v>0.99940828402366866</v>
          </cell>
          <cell r="S785">
            <v>0</v>
          </cell>
          <cell r="T785">
            <v>0</v>
          </cell>
          <cell r="U785">
            <v>0.5</v>
          </cell>
          <cell r="V785">
            <v>0</v>
          </cell>
        </row>
        <row r="786">
          <cell r="Q786">
            <v>0.23714285714285716</v>
          </cell>
          <cell r="R786">
            <v>0.99940828402366866</v>
          </cell>
          <cell r="S786">
            <v>0</v>
          </cell>
          <cell r="T786">
            <v>0.98945147679324896</v>
          </cell>
          <cell r="U786">
            <v>0.25</v>
          </cell>
          <cell r="V786">
            <v>0</v>
          </cell>
        </row>
        <row r="787">
          <cell r="Q787">
            <v>0.15142857142857144</v>
          </cell>
          <cell r="R787">
            <v>0.99940828402366866</v>
          </cell>
          <cell r="S787">
            <v>0</v>
          </cell>
          <cell r="T787">
            <v>0</v>
          </cell>
          <cell r="U787">
            <v>0.75</v>
          </cell>
          <cell r="V787">
            <v>0</v>
          </cell>
        </row>
        <row r="788">
          <cell r="Q788">
            <v>0.18285714285714286</v>
          </cell>
          <cell r="R788">
            <v>0.99940828402366866</v>
          </cell>
          <cell r="S788">
            <v>0</v>
          </cell>
          <cell r="T788">
            <v>0.5596255596255596</v>
          </cell>
          <cell r="U788">
            <v>0.5</v>
          </cell>
          <cell r="V788">
            <v>0</v>
          </cell>
        </row>
        <row r="789">
          <cell r="Q789">
            <v>2.5714285714285714E-2</v>
          </cell>
          <cell r="R789">
            <v>0.99940828402366866</v>
          </cell>
          <cell r="S789">
            <v>0</v>
          </cell>
          <cell r="T789">
            <v>0</v>
          </cell>
          <cell r="U789">
            <v>1</v>
          </cell>
          <cell r="V789">
            <v>0</v>
          </cell>
        </row>
        <row r="790">
          <cell r="Q790">
            <v>2.5714285714285714E-2</v>
          </cell>
          <cell r="R790">
            <v>0.99940828402366866</v>
          </cell>
          <cell r="S790">
            <v>0</v>
          </cell>
          <cell r="T790">
            <v>0</v>
          </cell>
          <cell r="U790">
            <v>1</v>
          </cell>
          <cell r="V790">
            <v>0</v>
          </cell>
        </row>
        <row r="791">
          <cell r="Q791">
            <v>2.5714285714285714E-2</v>
          </cell>
          <cell r="R791">
            <v>0.99940828402366866</v>
          </cell>
          <cell r="S791">
            <v>0</v>
          </cell>
          <cell r="T791">
            <v>0</v>
          </cell>
          <cell r="U791">
            <v>1</v>
          </cell>
          <cell r="V791">
            <v>0</v>
          </cell>
        </row>
        <row r="792">
          <cell r="Q792">
            <v>0.4</v>
          </cell>
          <cell r="R792">
            <v>0.99940828402366866</v>
          </cell>
          <cell r="S792">
            <v>0</v>
          </cell>
          <cell r="T792">
            <v>0</v>
          </cell>
          <cell r="U792">
            <v>0.25</v>
          </cell>
          <cell r="V792">
            <v>0</v>
          </cell>
        </row>
        <row r="793">
          <cell r="Q793">
            <v>0.12571428571428572</v>
          </cell>
          <cell r="R793">
            <v>0.99940828402366866</v>
          </cell>
          <cell r="S793">
            <v>0</v>
          </cell>
          <cell r="T793">
            <v>0</v>
          </cell>
          <cell r="U793">
            <v>0.75</v>
          </cell>
          <cell r="V793">
            <v>4.8145506419400859E-2</v>
          </cell>
        </row>
        <row r="794">
          <cell r="Q794">
            <v>0.2742857142857143</v>
          </cell>
          <cell r="R794">
            <v>0.99940828402366866</v>
          </cell>
          <cell r="S794">
            <v>0</v>
          </cell>
          <cell r="T794">
            <v>0</v>
          </cell>
          <cell r="U794">
            <v>0.5</v>
          </cell>
          <cell r="V794">
            <v>0</v>
          </cell>
        </row>
        <row r="795">
          <cell r="Q795">
            <v>0.14857142857142858</v>
          </cell>
          <cell r="R795">
            <v>0.99940828402366866</v>
          </cell>
          <cell r="S795">
            <v>0</v>
          </cell>
          <cell r="T795">
            <v>0</v>
          </cell>
          <cell r="U795">
            <v>0.75</v>
          </cell>
          <cell r="V795">
            <v>0</v>
          </cell>
        </row>
        <row r="796">
          <cell r="Q796">
            <v>0.14857142857142858</v>
          </cell>
          <cell r="R796">
            <v>0.99940828402366866</v>
          </cell>
          <cell r="S796">
            <v>0</v>
          </cell>
          <cell r="T796">
            <v>0</v>
          </cell>
          <cell r="U796">
            <v>0.75</v>
          </cell>
          <cell r="V796">
            <v>0</v>
          </cell>
        </row>
        <row r="797">
          <cell r="Q797">
            <v>0.14857142857142858</v>
          </cell>
          <cell r="R797">
            <v>0.99940828402366866</v>
          </cell>
          <cell r="S797">
            <v>0</v>
          </cell>
          <cell r="T797">
            <v>0</v>
          </cell>
          <cell r="U797">
            <v>0.75</v>
          </cell>
          <cell r="V797">
            <v>0</v>
          </cell>
        </row>
        <row r="798">
          <cell r="Q798">
            <v>0.14857142857142858</v>
          </cell>
          <cell r="R798">
            <v>0.99940828402366866</v>
          </cell>
          <cell r="S798">
            <v>0</v>
          </cell>
          <cell r="T798">
            <v>0</v>
          </cell>
          <cell r="U798">
            <v>0.75</v>
          </cell>
          <cell r="V798">
            <v>0</v>
          </cell>
        </row>
        <row r="799">
          <cell r="Q799">
            <v>2.2857142857142857E-2</v>
          </cell>
          <cell r="R799">
            <v>0.99940828402366866</v>
          </cell>
          <cell r="S799">
            <v>0</v>
          </cell>
          <cell r="T799">
            <v>0</v>
          </cell>
          <cell r="U799">
            <v>1</v>
          </cell>
          <cell r="V799">
            <v>0</v>
          </cell>
        </row>
        <row r="800">
          <cell r="Q800">
            <v>9.4285714285714292E-2</v>
          </cell>
          <cell r="R800">
            <v>0.99940828402366866</v>
          </cell>
          <cell r="S800">
            <v>0</v>
          </cell>
          <cell r="T800">
            <v>0</v>
          </cell>
          <cell r="U800">
            <v>0.75</v>
          </cell>
          <cell r="V800">
            <v>0.10511607910576096</v>
          </cell>
        </row>
        <row r="801">
          <cell r="Q801">
            <v>0.19428571428571428</v>
          </cell>
          <cell r="R801">
            <v>0.99940828402366866</v>
          </cell>
          <cell r="S801">
            <v>0</v>
          </cell>
          <cell r="T801">
            <v>0.46364242828552366</v>
          </cell>
          <cell r="U801">
            <v>0.5</v>
          </cell>
          <cell r="V801">
            <v>0</v>
          </cell>
        </row>
        <row r="802">
          <cell r="Q802">
            <v>0.27142857142857141</v>
          </cell>
          <cell r="R802">
            <v>0.99940828402366866</v>
          </cell>
          <cell r="S802">
            <v>0</v>
          </cell>
          <cell r="T802">
            <v>0</v>
          </cell>
          <cell r="U802">
            <v>0.5</v>
          </cell>
          <cell r="V802">
            <v>0</v>
          </cell>
        </row>
        <row r="803">
          <cell r="Q803">
            <v>0.27142857142857141</v>
          </cell>
          <cell r="R803">
            <v>0.99940828402366866</v>
          </cell>
          <cell r="S803">
            <v>0</v>
          </cell>
          <cell r="T803">
            <v>0</v>
          </cell>
          <cell r="U803">
            <v>0.5</v>
          </cell>
          <cell r="V803">
            <v>0</v>
          </cell>
        </row>
        <row r="804">
          <cell r="Q804">
            <v>0.14571428571428571</v>
          </cell>
          <cell r="R804">
            <v>0.99940828402366866</v>
          </cell>
          <cell r="S804">
            <v>0</v>
          </cell>
          <cell r="T804">
            <v>1.1179429849077697E-4</v>
          </cell>
          <cell r="U804">
            <v>0.75</v>
          </cell>
          <cell r="V804">
            <v>0</v>
          </cell>
        </row>
        <row r="805">
          <cell r="Q805">
            <v>0.14571428571428571</v>
          </cell>
          <cell r="R805">
            <v>0.99940828402366866</v>
          </cell>
          <cell r="S805">
            <v>0</v>
          </cell>
          <cell r="T805">
            <v>0</v>
          </cell>
          <cell r="U805">
            <v>0.75</v>
          </cell>
          <cell r="V805">
            <v>0</v>
          </cell>
        </row>
        <row r="806">
          <cell r="Q806">
            <v>0.10285714285714286</v>
          </cell>
          <cell r="R806">
            <v>0.99940828402366866</v>
          </cell>
          <cell r="S806">
            <v>0</v>
          </cell>
          <cell r="T806">
            <v>1</v>
          </cell>
          <cell r="U806">
            <v>0.5</v>
          </cell>
          <cell r="V806">
            <v>0</v>
          </cell>
        </row>
        <row r="807">
          <cell r="Q807">
            <v>7.1428571428571425E-2</v>
          </cell>
          <cell r="R807">
            <v>0.99940828402366866</v>
          </cell>
          <cell r="S807">
            <v>0</v>
          </cell>
          <cell r="T807">
            <v>0.43389570552147239</v>
          </cell>
          <cell r="U807">
            <v>0.75</v>
          </cell>
          <cell r="V807">
            <v>0</v>
          </cell>
        </row>
        <row r="808">
          <cell r="Q808">
            <v>0.26857142857142857</v>
          </cell>
          <cell r="R808">
            <v>0.99940828402366866</v>
          </cell>
          <cell r="S808">
            <v>0</v>
          </cell>
          <cell r="T808">
            <v>0</v>
          </cell>
          <cell r="U808">
            <v>0.5</v>
          </cell>
          <cell r="V808">
            <v>0</v>
          </cell>
        </row>
        <row r="809">
          <cell r="Q809">
            <v>0.14285714285714285</v>
          </cell>
          <cell r="R809">
            <v>0.99940828402366866</v>
          </cell>
          <cell r="S809">
            <v>0</v>
          </cell>
          <cell r="T809">
            <v>0</v>
          </cell>
          <cell r="U809">
            <v>0.75</v>
          </cell>
          <cell r="V809">
            <v>0</v>
          </cell>
        </row>
        <row r="810">
          <cell r="Q810">
            <v>0.14285714285714285</v>
          </cell>
          <cell r="R810">
            <v>0.99940828402366866</v>
          </cell>
          <cell r="S810">
            <v>0</v>
          </cell>
          <cell r="T810">
            <v>0</v>
          </cell>
          <cell r="U810">
            <v>0.75</v>
          </cell>
          <cell r="V810">
            <v>0</v>
          </cell>
        </row>
        <row r="811">
          <cell r="Q811">
            <v>0.14285714285714285</v>
          </cell>
          <cell r="R811">
            <v>0.99940828402366866</v>
          </cell>
          <cell r="S811">
            <v>0</v>
          </cell>
          <cell r="T811">
            <v>0</v>
          </cell>
          <cell r="U811">
            <v>0.75</v>
          </cell>
          <cell r="V811">
            <v>0</v>
          </cell>
        </row>
        <row r="812">
          <cell r="Q812">
            <v>0.14285714285714285</v>
          </cell>
          <cell r="R812">
            <v>0.99940828402366866</v>
          </cell>
          <cell r="S812">
            <v>0</v>
          </cell>
          <cell r="T812">
            <v>0</v>
          </cell>
          <cell r="U812">
            <v>0.75</v>
          </cell>
          <cell r="V812">
            <v>0</v>
          </cell>
        </row>
        <row r="813">
          <cell r="Q813">
            <v>0.14285714285714285</v>
          </cell>
          <cell r="R813">
            <v>0.99940828402366866</v>
          </cell>
          <cell r="S813">
            <v>0</v>
          </cell>
          <cell r="T813">
            <v>0</v>
          </cell>
          <cell r="U813">
            <v>0.75</v>
          </cell>
          <cell r="V813">
            <v>0</v>
          </cell>
        </row>
        <row r="814">
          <cell r="Q814">
            <v>0.14285714285714285</v>
          </cell>
          <cell r="R814">
            <v>0.99940828402366866</v>
          </cell>
          <cell r="S814">
            <v>0</v>
          </cell>
          <cell r="T814">
            <v>0</v>
          </cell>
          <cell r="U814">
            <v>0.75</v>
          </cell>
          <cell r="V814">
            <v>0</v>
          </cell>
        </row>
        <row r="815">
          <cell r="Q815">
            <v>0.2257142857142857</v>
          </cell>
          <cell r="R815">
            <v>0.99940828402366866</v>
          </cell>
          <cell r="S815">
            <v>0</v>
          </cell>
          <cell r="T815">
            <v>1</v>
          </cell>
          <cell r="U815">
            <v>0.25</v>
          </cell>
          <cell r="V815">
            <v>0</v>
          </cell>
        </row>
        <row r="816">
          <cell r="Q816">
            <v>0.2257142857142857</v>
          </cell>
          <cell r="R816">
            <v>0.99940828402366866</v>
          </cell>
          <cell r="S816">
            <v>0</v>
          </cell>
          <cell r="T816">
            <v>1</v>
          </cell>
          <cell r="U816">
            <v>0.25</v>
          </cell>
          <cell r="V816">
            <v>0</v>
          </cell>
        </row>
        <row r="817">
          <cell r="Q817">
            <v>0.18571428571428572</v>
          </cell>
          <cell r="R817">
            <v>0.99940828402366866</v>
          </cell>
          <cell r="S817">
            <v>0</v>
          </cell>
          <cell r="T817">
            <v>0</v>
          </cell>
          <cell r="U817">
            <v>0.25</v>
          </cell>
          <cell r="V817">
            <v>0.40943877551020408</v>
          </cell>
        </row>
        <row r="818">
          <cell r="Q818">
            <v>0.14000000000000001</v>
          </cell>
          <cell r="R818">
            <v>0.99940828402366866</v>
          </cell>
          <cell r="S818">
            <v>0</v>
          </cell>
          <cell r="T818">
            <v>0</v>
          </cell>
          <cell r="U818">
            <v>0</v>
          </cell>
          <cell r="V818">
            <v>0.75</v>
          </cell>
        </row>
        <row r="819">
          <cell r="Q819">
            <v>0.14000000000000001</v>
          </cell>
          <cell r="R819">
            <v>0.99940828402366866</v>
          </cell>
          <cell r="S819">
            <v>0</v>
          </cell>
          <cell r="T819">
            <v>0</v>
          </cell>
          <cell r="U819">
            <v>0</v>
          </cell>
          <cell r="V819">
            <v>0.75</v>
          </cell>
        </row>
        <row r="820">
          <cell r="Q820">
            <v>0.14000000000000001</v>
          </cell>
          <cell r="R820">
            <v>0.99940828402366866</v>
          </cell>
          <cell r="S820">
            <v>0</v>
          </cell>
          <cell r="T820">
            <v>0</v>
          </cell>
          <cell r="U820">
            <v>0</v>
          </cell>
          <cell r="V820">
            <v>0.75</v>
          </cell>
        </row>
        <row r="821">
          <cell r="Q821">
            <v>0.14000000000000001</v>
          </cell>
          <cell r="R821">
            <v>0.99940828402366866</v>
          </cell>
          <cell r="S821">
            <v>0</v>
          </cell>
          <cell r="T821">
            <v>0</v>
          </cell>
          <cell r="U821">
            <v>0</v>
          </cell>
          <cell r="V821">
            <v>0.75</v>
          </cell>
        </row>
        <row r="822">
          <cell r="Q822">
            <v>0.14000000000000001</v>
          </cell>
          <cell r="R822">
            <v>0.99940828402366866</v>
          </cell>
          <cell r="S822">
            <v>0</v>
          </cell>
          <cell r="T822">
            <v>0</v>
          </cell>
          <cell r="U822">
            <v>0</v>
          </cell>
          <cell r="V822">
            <v>0.75</v>
          </cell>
        </row>
        <row r="823">
          <cell r="Q823">
            <v>0.14000000000000001</v>
          </cell>
          <cell r="R823">
            <v>0.99940828402366866</v>
          </cell>
          <cell r="S823">
            <v>0</v>
          </cell>
          <cell r="T823">
            <v>0</v>
          </cell>
          <cell r="U823">
            <v>0</v>
          </cell>
          <cell r="V823">
            <v>0.75</v>
          </cell>
        </row>
        <row r="824">
          <cell r="Q824">
            <v>0.14000000000000001</v>
          </cell>
          <cell r="R824">
            <v>0.99940828402366866</v>
          </cell>
          <cell r="S824">
            <v>0</v>
          </cell>
          <cell r="T824">
            <v>0</v>
          </cell>
          <cell r="U824">
            <v>0</v>
          </cell>
          <cell r="V824">
            <v>0.75</v>
          </cell>
        </row>
        <row r="825">
          <cell r="Q825">
            <v>0.14000000000000001</v>
          </cell>
          <cell r="R825">
            <v>0.99940828402366866</v>
          </cell>
          <cell r="S825">
            <v>0</v>
          </cell>
          <cell r="T825">
            <v>0</v>
          </cell>
          <cell r="U825">
            <v>0.75</v>
          </cell>
          <cell r="V825">
            <v>0</v>
          </cell>
        </row>
        <row r="826">
          <cell r="Q826">
            <v>0.26285714285714284</v>
          </cell>
          <cell r="R826">
            <v>0.99940828402366866</v>
          </cell>
          <cell r="S826">
            <v>0</v>
          </cell>
          <cell r="T826">
            <v>0</v>
          </cell>
          <cell r="U826">
            <v>0.5</v>
          </cell>
          <cell r="V826">
            <v>0</v>
          </cell>
        </row>
        <row r="827">
          <cell r="Q827">
            <v>0.13714285714285715</v>
          </cell>
          <cell r="R827">
            <v>0.99940828402366866</v>
          </cell>
          <cell r="S827">
            <v>0</v>
          </cell>
          <cell r="T827">
            <v>0</v>
          </cell>
          <cell r="U827">
            <v>0.75</v>
          </cell>
          <cell r="V827">
            <v>0</v>
          </cell>
        </row>
        <row r="828">
          <cell r="Q828">
            <v>0.13714285714285715</v>
          </cell>
          <cell r="R828">
            <v>0.99940828402366866</v>
          </cell>
          <cell r="S828">
            <v>0</v>
          </cell>
          <cell r="T828">
            <v>0</v>
          </cell>
          <cell r="U828">
            <v>0.75</v>
          </cell>
          <cell r="V828">
            <v>0</v>
          </cell>
        </row>
        <row r="829">
          <cell r="Q829">
            <v>0.13714285714285715</v>
          </cell>
          <cell r="R829">
            <v>0.99940828402366866</v>
          </cell>
          <cell r="S829">
            <v>0</v>
          </cell>
          <cell r="T829">
            <v>0</v>
          </cell>
          <cell r="U829">
            <v>0.75</v>
          </cell>
          <cell r="V829">
            <v>0</v>
          </cell>
        </row>
        <row r="830">
          <cell r="Q830">
            <v>0.13714285714285715</v>
          </cell>
          <cell r="R830">
            <v>0.99940828402366866</v>
          </cell>
          <cell r="S830">
            <v>0</v>
          </cell>
          <cell r="T830">
            <v>0</v>
          </cell>
          <cell r="U830">
            <v>0.75</v>
          </cell>
          <cell r="V830">
            <v>0</v>
          </cell>
        </row>
        <row r="831">
          <cell r="Q831">
            <v>8.8571428571428565E-2</v>
          </cell>
          <cell r="R831">
            <v>0.99940828402366866</v>
          </cell>
          <cell r="S831">
            <v>0</v>
          </cell>
          <cell r="T831">
            <v>0</v>
          </cell>
          <cell r="U831">
            <v>0.75</v>
          </cell>
          <cell r="V831">
            <v>9.6386138613861388E-2</v>
          </cell>
        </row>
        <row r="832">
          <cell r="Q832">
            <v>0.13714285714285715</v>
          </cell>
          <cell r="R832">
            <v>0.99940828402366866</v>
          </cell>
          <cell r="S832">
            <v>0</v>
          </cell>
          <cell r="T832">
            <v>0</v>
          </cell>
          <cell r="U832">
            <v>0.5</v>
          </cell>
          <cell r="V832">
            <v>0.24915884540463965</v>
          </cell>
        </row>
        <row r="833">
          <cell r="Q833">
            <v>0.10857142857142857</v>
          </cell>
          <cell r="R833">
            <v>0.99940828402366866</v>
          </cell>
          <cell r="S833">
            <v>0</v>
          </cell>
          <cell r="T833">
            <v>0</v>
          </cell>
          <cell r="U833">
            <v>0.75</v>
          </cell>
          <cell r="V833">
            <v>5.6211354693648116E-2</v>
          </cell>
        </row>
        <row r="834">
          <cell r="Q834">
            <v>0.17142857142857143</v>
          </cell>
          <cell r="R834">
            <v>0.99940828402366866</v>
          </cell>
          <cell r="S834">
            <v>0</v>
          </cell>
          <cell r="T834">
            <v>0</v>
          </cell>
          <cell r="U834">
            <v>0.5</v>
          </cell>
          <cell r="V834">
            <v>0.17882648137425208</v>
          </cell>
        </row>
        <row r="835">
          <cell r="Q835">
            <v>0.15142857142857144</v>
          </cell>
          <cell r="R835">
            <v>0.99940828402366866</v>
          </cell>
          <cell r="S835">
            <v>0</v>
          </cell>
          <cell r="T835">
            <v>0.65004703668861707</v>
          </cell>
          <cell r="U835">
            <v>0.5</v>
          </cell>
          <cell r="V835">
            <v>0</v>
          </cell>
        </row>
        <row r="836">
          <cell r="Q836">
            <v>0.11428571428571428</v>
          </cell>
          <cell r="R836">
            <v>0.99940828402366866</v>
          </cell>
          <cell r="S836">
            <v>0</v>
          </cell>
          <cell r="T836">
            <v>0.87119999999999997</v>
          </cell>
          <cell r="U836">
            <v>0.5</v>
          </cell>
          <cell r="V836">
            <v>0</v>
          </cell>
        </row>
        <row r="837">
          <cell r="Q837">
            <v>0.13428571428571429</v>
          </cell>
          <cell r="R837">
            <v>0.99940828402366866</v>
          </cell>
          <cell r="S837">
            <v>0</v>
          </cell>
          <cell r="T837">
            <v>0</v>
          </cell>
          <cell r="U837">
            <v>0.75</v>
          </cell>
          <cell r="V837">
            <v>0</v>
          </cell>
        </row>
        <row r="838">
          <cell r="Q838">
            <v>0.13428571428571429</v>
          </cell>
          <cell r="R838">
            <v>0.99940828402366866</v>
          </cell>
          <cell r="S838">
            <v>0</v>
          </cell>
          <cell r="T838">
            <v>0</v>
          </cell>
          <cell r="U838">
            <v>0.75</v>
          </cell>
          <cell r="V838">
            <v>0</v>
          </cell>
        </row>
        <row r="839">
          <cell r="Q839">
            <v>0.13428571428571429</v>
          </cell>
          <cell r="R839">
            <v>0.99940828402366866</v>
          </cell>
          <cell r="S839">
            <v>0</v>
          </cell>
          <cell r="T839">
            <v>0</v>
          </cell>
          <cell r="U839">
            <v>0.75</v>
          </cell>
          <cell r="V839">
            <v>0</v>
          </cell>
        </row>
        <row r="840">
          <cell r="Q840">
            <v>0.13428571428571429</v>
          </cell>
          <cell r="R840">
            <v>0.99940828402366866</v>
          </cell>
          <cell r="S840">
            <v>0</v>
          </cell>
          <cell r="T840">
            <v>0</v>
          </cell>
          <cell r="U840">
            <v>0.75</v>
          </cell>
          <cell r="V840">
            <v>0</v>
          </cell>
        </row>
        <row r="841">
          <cell r="Q841">
            <v>8.5714285714285719E-3</v>
          </cell>
          <cell r="R841">
            <v>0.99940828402366866</v>
          </cell>
          <cell r="S841">
            <v>0</v>
          </cell>
          <cell r="T841">
            <v>0</v>
          </cell>
          <cell r="U841">
            <v>1</v>
          </cell>
          <cell r="V841">
            <v>0</v>
          </cell>
        </row>
        <row r="842">
          <cell r="Q842">
            <v>9.1428571428571428E-2</v>
          </cell>
          <cell r="R842">
            <v>0.99940828402366866</v>
          </cell>
          <cell r="S842">
            <v>0</v>
          </cell>
          <cell r="T842">
            <v>1</v>
          </cell>
          <cell r="U842">
            <v>0.5</v>
          </cell>
          <cell r="V842">
            <v>0</v>
          </cell>
        </row>
        <row r="843">
          <cell r="Q843">
            <v>9.1428571428571428E-2</v>
          </cell>
          <cell r="R843">
            <v>0.99940828402366866</v>
          </cell>
          <cell r="S843">
            <v>0</v>
          </cell>
          <cell r="T843">
            <v>1</v>
          </cell>
          <cell r="U843">
            <v>0.5</v>
          </cell>
          <cell r="V843">
            <v>0</v>
          </cell>
        </row>
        <row r="844">
          <cell r="Q844">
            <v>9.1428571428571428E-2</v>
          </cell>
          <cell r="R844">
            <v>0.99940828402366866</v>
          </cell>
          <cell r="S844">
            <v>0</v>
          </cell>
          <cell r="T844">
            <v>1</v>
          </cell>
          <cell r="U844">
            <v>0.5</v>
          </cell>
          <cell r="V844">
            <v>0</v>
          </cell>
        </row>
        <row r="845">
          <cell r="Q845">
            <v>9.1428571428571428E-2</v>
          </cell>
          <cell r="R845">
            <v>0.99940828402366866</v>
          </cell>
          <cell r="S845">
            <v>0</v>
          </cell>
          <cell r="T845">
            <v>1</v>
          </cell>
          <cell r="U845">
            <v>0.5</v>
          </cell>
          <cell r="V845">
            <v>0</v>
          </cell>
        </row>
        <row r="846">
          <cell r="Q846">
            <v>0.12857142857142856</v>
          </cell>
          <cell r="R846">
            <v>0.99940828402366866</v>
          </cell>
          <cell r="S846">
            <v>0</v>
          </cell>
          <cell r="T846">
            <v>2.5842044134727061E-2</v>
          </cell>
          <cell r="U846">
            <v>0.75</v>
          </cell>
          <cell r="V846">
            <v>0</v>
          </cell>
        </row>
        <row r="847">
          <cell r="Q847">
            <v>0.25428571428571428</v>
          </cell>
          <cell r="R847">
            <v>0.99940828402366866</v>
          </cell>
          <cell r="S847">
            <v>0</v>
          </cell>
          <cell r="T847">
            <v>2.0022425116130067E-2</v>
          </cell>
          <cell r="U847">
            <v>0.5</v>
          </cell>
          <cell r="V847">
            <v>0</v>
          </cell>
        </row>
        <row r="848">
          <cell r="Q848">
            <v>0.13142857142857142</v>
          </cell>
          <cell r="R848">
            <v>0.99940828402366866</v>
          </cell>
          <cell r="S848">
            <v>0</v>
          </cell>
          <cell r="T848">
            <v>0</v>
          </cell>
          <cell r="U848">
            <v>0.75</v>
          </cell>
          <cell r="V848">
            <v>0</v>
          </cell>
        </row>
        <row r="849">
          <cell r="Q849">
            <v>8.2857142857142851E-2</v>
          </cell>
          <cell r="R849">
            <v>0.99940828402366866</v>
          </cell>
          <cell r="S849">
            <v>0</v>
          </cell>
          <cell r="T849">
            <v>0.28795273567942459</v>
          </cell>
          <cell r="U849">
            <v>0.75</v>
          </cell>
          <cell r="V849">
            <v>0</v>
          </cell>
        </row>
        <row r="850">
          <cell r="Q850">
            <v>0.11714285714285715</v>
          </cell>
          <cell r="R850">
            <v>0.99940828402366866</v>
          </cell>
          <cell r="S850">
            <v>0</v>
          </cell>
          <cell r="T850">
            <v>0</v>
          </cell>
          <cell r="U850">
            <v>0.75</v>
          </cell>
          <cell r="V850">
            <v>2.7377717391304349E-2</v>
          </cell>
        </row>
        <row r="851">
          <cell r="Q851">
            <v>5.7142857142857143E-3</v>
          </cell>
          <cell r="R851">
            <v>0.99940828402366866</v>
          </cell>
          <cell r="S851">
            <v>0</v>
          </cell>
          <cell r="T851">
            <v>0</v>
          </cell>
          <cell r="U851">
            <v>1</v>
          </cell>
          <cell r="V851">
            <v>0</v>
          </cell>
        </row>
        <row r="852">
          <cell r="Q852">
            <v>8.8571428571428565E-2</v>
          </cell>
          <cell r="R852">
            <v>0.99940828402366866</v>
          </cell>
          <cell r="S852">
            <v>1</v>
          </cell>
          <cell r="T852">
            <v>0</v>
          </cell>
          <cell r="U852">
            <v>0.5</v>
          </cell>
          <cell r="V852">
            <v>0</v>
          </cell>
        </row>
        <row r="853">
          <cell r="Q853">
            <v>8.8571428571428565E-2</v>
          </cell>
          <cell r="R853">
            <v>0.99940828402366866</v>
          </cell>
          <cell r="S853">
            <v>1</v>
          </cell>
          <cell r="T853">
            <v>0</v>
          </cell>
          <cell r="U853">
            <v>0.5</v>
          </cell>
          <cell r="V853">
            <v>0</v>
          </cell>
        </row>
        <row r="854">
          <cell r="Q854">
            <v>8.8571428571428565E-2</v>
          </cell>
          <cell r="R854">
            <v>0.99940828402366866</v>
          </cell>
          <cell r="S854">
            <v>1</v>
          </cell>
          <cell r="T854">
            <v>0</v>
          </cell>
          <cell r="U854">
            <v>0.5</v>
          </cell>
          <cell r="V854">
            <v>0</v>
          </cell>
        </row>
        <row r="855">
          <cell r="Q855">
            <v>8.8571428571428565E-2</v>
          </cell>
          <cell r="R855">
            <v>0.99940828402366866</v>
          </cell>
          <cell r="S855">
            <v>1</v>
          </cell>
          <cell r="T855">
            <v>0</v>
          </cell>
          <cell r="U855">
            <v>0.5</v>
          </cell>
          <cell r="V855">
            <v>0</v>
          </cell>
        </row>
        <row r="856">
          <cell r="Q856">
            <v>0.25428571428571428</v>
          </cell>
          <cell r="R856">
            <v>0.99940828402366866</v>
          </cell>
          <cell r="S856">
            <v>0</v>
          </cell>
          <cell r="T856">
            <v>0</v>
          </cell>
          <cell r="U856">
            <v>0.5</v>
          </cell>
          <cell r="V856">
            <v>0</v>
          </cell>
        </row>
        <row r="857">
          <cell r="Q857">
            <v>0.12</v>
          </cell>
          <cell r="R857">
            <v>0.99940828402366866</v>
          </cell>
          <cell r="S857">
            <v>0</v>
          </cell>
          <cell r="T857">
            <v>0</v>
          </cell>
          <cell r="U857">
            <v>0.75</v>
          </cell>
          <cell r="V857">
            <v>1.8539646320593267E-2</v>
          </cell>
        </row>
        <row r="858">
          <cell r="Q858">
            <v>0.12857142857142856</v>
          </cell>
          <cell r="R858">
            <v>0.99940828402366866</v>
          </cell>
          <cell r="S858">
            <v>0</v>
          </cell>
          <cell r="T858">
            <v>0</v>
          </cell>
          <cell r="U858">
            <v>0.75</v>
          </cell>
          <cell r="V858">
            <v>0</v>
          </cell>
        </row>
        <row r="859">
          <cell r="Q859">
            <v>0.12857142857142856</v>
          </cell>
          <cell r="R859">
            <v>0.99940828402366866</v>
          </cell>
          <cell r="S859">
            <v>0</v>
          </cell>
          <cell r="T859">
            <v>0</v>
          </cell>
          <cell r="U859">
            <v>0.75</v>
          </cell>
          <cell r="V859">
            <v>0</v>
          </cell>
        </row>
        <row r="860">
          <cell r="Q860">
            <v>0.12857142857142856</v>
          </cell>
          <cell r="R860">
            <v>0.99940828402366866</v>
          </cell>
          <cell r="S860">
            <v>0</v>
          </cell>
          <cell r="T860">
            <v>0</v>
          </cell>
          <cell r="U860">
            <v>0.75</v>
          </cell>
          <cell r="V860">
            <v>0</v>
          </cell>
        </row>
        <row r="861">
          <cell r="Q861">
            <v>0.12857142857142856</v>
          </cell>
          <cell r="R861">
            <v>0.99940828402366866</v>
          </cell>
          <cell r="S861">
            <v>0</v>
          </cell>
          <cell r="T861">
            <v>0</v>
          </cell>
          <cell r="U861">
            <v>0.75</v>
          </cell>
          <cell r="V861">
            <v>0</v>
          </cell>
        </row>
        <row r="862">
          <cell r="Q862">
            <v>0.12857142857142856</v>
          </cell>
          <cell r="R862">
            <v>0.99940828402366866</v>
          </cell>
          <cell r="S862">
            <v>0</v>
          </cell>
          <cell r="T862">
            <v>0</v>
          </cell>
          <cell r="U862">
            <v>0.75</v>
          </cell>
          <cell r="V862">
            <v>0</v>
          </cell>
        </row>
        <row r="863">
          <cell r="Q863">
            <v>0.12857142857142856</v>
          </cell>
          <cell r="R863">
            <v>0.99940828402366866</v>
          </cell>
          <cell r="S863">
            <v>0</v>
          </cell>
          <cell r="T863">
            <v>0</v>
          </cell>
          <cell r="U863">
            <v>0.75</v>
          </cell>
          <cell r="V863">
            <v>0</v>
          </cell>
        </row>
        <row r="864">
          <cell r="Q864">
            <v>0.21142857142857144</v>
          </cell>
          <cell r="R864">
            <v>0.99940828402366866</v>
          </cell>
          <cell r="S864">
            <v>0</v>
          </cell>
          <cell r="T864">
            <v>1</v>
          </cell>
          <cell r="U864">
            <v>0.25</v>
          </cell>
          <cell r="V864">
            <v>0</v>
          </cell>
        </row>
        <row r="865">
          <cell r="Q865">
            <v>8.5714285714285715E-2</v>
          </cell>
          <cell r="R865">
            <v>0.99940828402366866</v>
          </cell>
          <cell r="S865">
            <v>0</v>
          </cell>
          <cell r="T865">
            <v>0.25412541254125415</v>
          </cell>
          <cell r="U865">
            <v>0.75</v>
          </cell>
          <cell r="V865">
            <v>0</v>
          </cell>
        </row>
        <row r="866">
          <cell r="Q866">
            <v>0.12571428571428572</v>
          </cell>
          <cell r="R866">
            <v>0.99940828402366866</v>
          </cell>
          <cell r="S866">
            <v>0</v>
          </cell>
          <cell r="T866">
            <v>1.0001961168856639E-2</v>
          </cell>
          <cell r="U866">
            <v>0.75</v>
          </cell>
          <cell r="V866">
            <v>0</v>
          </cell>
        </row>
        <row r="867">
          <cell r="Q867">
            <v>0.24857142857142858</v>
          </cell>
          <cell r="R867">
            <v>0.99940828402366866</v>
          </cell>
          <cell r="S867">
            <v>0</v>
          </cell>
          <cell r="T867">
            <v>1.5228426395939087E-2</v>
          </cell>
          <cell r="U867">
            <v>0.5</v>
          </cell>
          <cell r="V867">
            <v>0</v>
          </cell>
        </row>
        <row r="868">
          <cell r="Q868">
            <v>0.12571428571428572</v>
          </cell>
          <cell r="R868">
            <v>0.99940828402366866</v>
          </cell>
          <cell r="S868">
            <v>0</v>
          </cell>
          <cell r="T868">
            <v>0</v>
          </cell>
          <cell r="U868">
            <v>0.75</v>
          </cell>
          <cell r="V868">
            <v>0</v>
          </cell>
        </row>
        <row r="869">
          <cell r="Q869">
            <v>0.12571428571428572</v>
          </cell>
          <cell r="R869">
            <v>0.99940828402366866</v>
          </cell>
          <cell r="S869">
            <v>0</v>
          </cell>
          <cell r="T869">
            <v>0</v>
          </cell>
          <cell r="U869">
            <v>0</v>
          </cell>
          <cell r="V869">
            <v>0.75</v>
          </cell>
        </row>
        <row r="870">
          <cell r="Q870">
            <v>0.12571428571428572</v>
          </cell>
          <cell r="R870">
            <v>0.99940828402366866</v>
          </cell>
          <cell r="S870">
            <v>0</v>
          </cell>
          <cell r="T870">
            <v>0</v>
          </cell>
          <cell r="U870">
            <v>0.75</v>
          </cell>
          <cell r="V870">
            <v>0</v>
          </cell>
        </row>
        <row r="871">
          <cell r="Q871">
            <v>0.12571428571428572</v>
          </cell>
          <cell r="R871">
            <v>0.99940828402366866</v>
          </cell>
          <cell r="S871">
            <v>0</v>
          </cell>
          <cell r="T871">
            <v>0</v>
          </cell>
          <cell r="U871">
            <v>0.75</v>
          </cell>
          <cell r="V871">
            <v>0</v>
          </cell>
        </row>
        <row r="872">
          <cell r="Q872">
            <v>0.14857142857142858</v>
          </cell>
          <cell r="R872">
            <v>0.99940828402366866</v>
          </cell>
          <cell r="S872">
            <v>0</v>
          </cell>
          <cell r="T872">
            <v>1</v>
          </cell>
          <cell r="U872">
            <v>0</v>
          </cell>
          <cell r="V872">
            <v>0.36993351919365214</v>
          </cell>
        </row>
        <row r="873">
          <cell r="Q873">
            <v>8.2857142857142851E-2</v>
          </cell>
          <cell r="R873">
            <v>0.99940828402366866</v>
          </cell>
          <cell r="S873">
            <v>0</v>
          </cell>
          <cell r="T873">
            <v>0</v>
          </cell>
          <cell r="U873">
            <v>0.5</v>
          </cell>
          <cell r="V873">
            <v>0.33386219401631911</v>
          </cell>
        </row>
        <row r="874">
          <cell r="Q874">
            <v>8.2857142857142851E-2</v>
          </cell>
          <cell r="R874">
            <v>0.99940828402366866</v>
          </cell>
          <cell r="S874">
            <v>0</v>
          </cell>
          <cell r="T874">
            <v>1</v>
          </cell>
          <cell r="U874">
            <v>0.5</v>
          </cell>
          <cell r="V874">
            <v>0</v>
          </cell>
        </row>
        <row r="875">
          <cell r="Q875">
            <v>0.10571428571428572</v>
          </cell>
          <cell r="R875">
            <v>0.99940828402366866</v>
          </cell>
          <cell r="S875">
            <v>0</v>
          </cell>
          <cell r="T875">
            <v>0.10524316109422492</v>
          </cell>
          <cell r="U875">
            <v>0.75</v>
          </cell>
          <cell r="V875">
            <v>0</v>
          </cell>
        </row>
        <row r="876">
          <cell r="Q876">
            <v>0.12285714285714286</v>
          </cell>
          <cell r="R876">
            <v>0.99940828402366866</v>
          </cell>
          <cell r="S876">
            <v>0</v>
          </cell>
          <cell r="T876">
            <v>0</v>
          </cell>
          <cell r="U876">
            <v>0.75</v>
          </cell>
          <cell r="V876">
            <v>0</v>
          </cell>
        </row>
        <row r="877">
          <cell r="Q877">
            <v>0.12285714285714286</v>
          </cell>
          <cell r="R877">
            <v>0.99940828402366866</v>
          </cell>
          <cell r="S877">
            <v>0</v>
          </cell>
          <cell r="T877">
            <v>0</v>
          </cell>
          <cell r="U877">
            <v>0.75</v>
          </cell>
          <cell r="V877">
            <v>0</v>
          </cell>
        </row>
        <row r="878">
          <cell r="Q878">
            <v>0.12285714285714286</v>
          </cell>
          <cell r="R878">
            <v>0.99940828402366866</v>
          </cell>
          <cell r="S878">
            <v>0</v>
          </cell>
          <cell r="T878">
            <v>0</v>
          </cell>
          <cell r="U878">
            <v>0.75</v>
          </cell>
          <cell r="V878">
            <v>0</v>
          </cell>
        </row>
        <row r="879">
          <cell r="Q879">
            <v>0.10857142857142857</v>
          </cell>
          <cell r="R879">
            <v>0.99940828402366866</v>
          </cell>
          <cell r="S879">
            <v>0</v>
          </cell>
          <cell r="T879">
            <v>0</v>
          </cell>
          <cell r="U879">
            <v>0.5</v>
          </cell>
          <cell r="V879">
            <v>0.27682148686748775</v>
          </cell>
        </row>
        <row r="880">
          <cell r="Q880">
            <v>0.08</v>
          </cell>
          <cell r="R880">
            <v>0.99940828402366866</v>
          </cell>
          <cell r="S880">
            <v>0</v>
          </cell>
          <cell r="T880">
            <v>1</v>
          </cell>
          <cell r="U880">
            <v>0.5</v>
          </cell>
          <cell r="V880">
            <v>0</v>
          </cell>
        </row>
        <row r="881">
          <cell r="Q881">
            <v>0.13142857142857142</v>
          </cell>
          <cell r="R881">
            <v>0.99940828402366866</v>
          </cell>
          <cell r="S881">
            <v>0</v>
          </cell>
          <cell r="T881">
            <v>0</v>
          </cell>
          <cell r="U881">
            <v>0.5</v>
          </cell>
          <cell r="V881">
            <v>0.22757787325456499</v>
          </cell>
        </row>
        <row r="882">
          <cell r="Q882">
            <v>9.4285714285714292E-2</v>
          </cell>
          <cell r="R882">
            <v>0.99940828402366866</v>
          </cell>
          <cell r="S882">
            <v>0</v>
          </cell>
          <cell r="T882">
            <v>0</v>
          </cell>
          <cell r="U882">
            <v>0.75</v>
          </cell>
          <cell r="V882">
            <v>5.1834130781499205E-2</v>
          </cell>
        </row>
        <row r="883">
          <cell r="Q883">
            <v>0.12</v>
          </cell>
          <cell r="R883">
            <v>0.99940828402366866</v>
          </cell>
          <cell r="S883">
            <v>0</v>
          </cell>
          <cell r="T883">
            <v>0</v>
          </cell>
          <cell r="U883">
            <v>0.75</v>
          </cell>
          <cell r="V883">
            <v>0</v>
          </cell>
        </row>
        <row r="884">
          <cell r="Q884">
            <v>0.12</v>
          </cell>
          <cell r="R884">
            <v>0.99940828402366866</v>
          </cell>
          <cell r="S884">
            <v>0</v>
          </cell>
          <cell r="T884">
            <v>0</v>
          </cell>
          <cell r="U884">
            <v>0.75</v>
          </cell>
          <cell r="V884">
            <v>0</v>
          </cell>
        </row>
        <row r="885">
          <cell r="Q885">
            <v>0.18571428571428572</v>
          </cell>
          <cell r="R885">
            <v>0.99940828402366866</v>
          </cell>
          <cell r="S885">
            <v>0</v>
          </cell>
          <cell r="T885">
            <v>0</v>
          </cell>
          <cell r="U885">
            <v>0.5</v>
          </cell>
          <cell r="V885">
            <v>0.11810599946193166</v>
          </cell>
        </row>
        <row r="886">
          <cell r="Q886">
            <v>0.20285714285714285</v>
          </cell>
          <cell r="R886">
            <v>0.99940828402366866</v>
          </cell>
          <cell r="S886">
            <v>0</v>
          </cell>
          <cell r="T886">
            <v>1</v>
          </cell>
          <cell r="U886">
            <v>0.25</v>
          </cell>
          <cell r="V886">
            <v>0</v>
          </cell>
        </row>
        <row r="887">
          <cell r="Q887">
            <v>7.7142857142857138E-2</v>
          </cell>
          <cell r="R887">
            <v>0.99940828402366866</v>
          </cell>
          <cell r="S887">
            <v>0</v>
          </cell>
          <cell r="T887">
            <v>1</v>
          </cell>
          <cell r="U887">
            <v>0.5</v>
          </cell>
          <cell r="V887">
            <v>0</v>
          </cell>
        </row>
        <row r="888">
          <cell r="Q888">
            <v>7.7142857142857138E-2</v>
          </cell>
          <cell r="R888">
            <v>0.99940828402366866</v>
          </cell>
          <cell r="S888">
            <v>0</v>
          </cell>
          <cell r="T888">
            <v>1</v>
          </cell>
          <cell r="U888">
            <v>0.5</v>
          </cell>
          <cell r="V888">
            <v>0</v>
          </cell>
        </row>
        <row r="889">
          <cell r="Q889">
            <v>8.5714285714285715E-2</v>
          </cell>
          <cell r="R889">
            <v>0.99940828402366866</v>
          </cell>
          <cell r="S889">
            <v>0</v>
          </cell>
          <cell r="T889">
            <v>0</v>
          </cell>
          <cell r="U889">
            <v>0.75</v>
          </cell>
          <cell r="V889">
            <v>6.4683053040103494E-2</v>
          </cell>
        </row>
        <row r="890">
          <cell r="Q890">
            <v>0.24285714285714285</v>
          </cell>
          <cell r="R890">
            <v>0.99940828402366866</v>
          </cell>
          <cell r="S890">
            <v>0</v>
          </cell>
          <cell r="T890">
            <v>0</v>
          </cell>
          <cell r="U890">
            <v>0.5</v>
          </cell>
          <cell r="V890">
            <v>0</v>
          </cell>
        </row>
        <row r="891">
          <cell r="Q891">
            <v>0.24285714285714285</v>
          </cell>
          <cell r="R891">
            <v>0.99940828402366866</v>
          </cell>
          <cell r="S891">
            <v>0</v>
          </cell>
          <cell r="T891">
            <v>0</v>
          </cell>
          <cell r="U891">
            <v>0.5</v>
          </cell>
          <cell r="V891">
            <v>0</v>
          </cell>
        </row>
        <row r="892">
          <cell r="Q892">
            <v>0.24285714285714285</v>
          </cell>
          <cell r="R892">
            <v>0.99940828402366866</v>
          </cell>
          <cell r="S892">
            <v>0</v>
          </cell>
          <cell r="T892">
            <v>0</v>
          </cell>
          <cell r="U892">
            <v>0.5</v>
          </cell>
          <cell r="V892">
            <v>0</v>
          </cell>
        </row>
        <row r="893">
          <cell r="Q893">
            <v>0.11714285714285715</v>
          </cell>
          <cell r="R893">
            <v>0.99940828402366866</v>
          </cell>
          <cell r="S893">
            <v>0</v>
          </cell>
          <cell r="T893">
            <v>0</v>
          </cell>
          <cell r="U893">
            <v>0.75</v>
          </cell>
          <cell r="V893">
            <v>0</v>
          </cell>
        </row>
        <row r="894">
          <cell r="Q894">
            <v>0.11714285714285715</v>
          </cell>
          <cell r="R894">
            <v>0.99940828402366866</v>
          </cell>
          <cell r="S894">
            <v>0</v>
          </cell>
          <cell r="T894">
            <v>0</v>
          </cell>
          <cell r="U894">
            <v>0.75</v>
          </cell>
          <cell r="V894">
            <v>0</v>
          </cell>
        </row>
        <row r="895">
          <cell r="Q895">
            <v>0.11714285714285715</v>
          </cell>
          <cell r="R895">
            <v>0.99940828402366866</v>
          </cell>
          <cell r="S895">
            <v>0</v>
          </cell>
          <cell r="T895">
            <v>0</v>
          </cell>
          <cell r="U895">
            <v>0.75</v>
          </cell>
          <cell r="V895">
            <v>0</v>
          </cell>
        </row>
        <row r="896">
          <cell r="Q896">
            <v>0.11714285714285715</v>
          </cell>
          <cell r="R896">
            <v>0.99940828402366866</v>
          </cell>
          <cell r="S896">
            <v>0</v>
          </cell>
          <cell r="T896">
            <v>0</v>
          </cell>
          <cell r="U896">
            <v>0.75</v>
          </cell>
          <cell r="V896">
            <v>0</v>
          </cell>
        </row>
        <row r="897">
          <cell r="Q897">
            <v>0.2</v>
          </cell>
          <cell r="R897">
            <v>0.99940828402366866</v>
          </cell>
          <cell r="S897">
            <v>1</v>
          </cell>
          <cell r="T897">
            <v>0</v>
          </cell>
          <cell r="U897">
            <v>0.25</v>
          </cell>
          <cell r="V897">
            <v>0</v>
          </cell>
        </row>
        <row r="898">
          <cell r="Q898">
            <v>0.36571428571428571</v>
          </cell>
          <cell r="R898">
            <v>0.99940828402366866</v>
          </cell>
          <cell r="S898">
            <v>0</v>
          </cell>
          <cell r="T898">
            <v>0</v>
          </cell>
          <cell r="U898">
            <v>0.25</v>
          </cell>
          <cell r="V898">
            <v>0</v>
          </cell>
        </row>
        <row r="899">
          <cell r="Q899">
            <v>0.36571428571428571</v>
          </cell>
          <cell r="R899">
            <v>0.99940828402366866</v>
          </cell>
          <cell r="S899">
            <v>0</v>
          </cell>
          <cell r="T899">
            <v>0</v>
          </cell>
          <cell r="U899">
            <v>0.25</v>
          </cell>
          <cell r="V899">
            <v>0</v>
          </cell>
        </row>
        <row r="900">
          <cell r="Q900">
            <v>0.11428571428571428</v>
          </cell>
          <cell r="R900">
            <v>0.99940828402366866</v>
          </cell>
          <cell r="S900">
            <v>0</v>
          </cell>
          <cell r="T900">
            <v>6.673511293634497E-3</v>
          </cell>
          <cell r="U900">
            <v>0.75</v>
          </cell>
          <cell r="V900">
            <v>0</v>
          </cell>
        </row>
        <row r="901">
          <cell r="Q901">
            <v>0.24</v>
          </cell>
          <cell r="R901">
            <v>0.99940828402366866</v>
          </cell>
          <cell r="S901">
            <v>0</v>
          </cell>
          <cell r="T901">
            <v>0</v>
          </cell>
          <cell r="U901">
            <v>0.5</v>
          </cell>
          <cell r="V901">
            <v>0</v>
          </cell>
        </row>
        <row r="902">
          <cell r="Q902">
            <v>0.24</v>
          </cell>
          <cell r="R902">
            <v>0.99940828402366866</v>
          </cell>
          <cell r="S902">
            <v>0</v>
          </cell>
          <cell r="T902">
            <v>0</v>
          </cell>
          <cell r="U902">
            <v>0.5</v>
          </cell>
          <cell r="V902">
            <v>0</v>
          </cell>
        </row>
        <row r="903">
          <cell r="Q903">
            <v>0.24</v>
          </cell>
          <cell r="R903">
            <v>0.99940828402366866</v>
          </cell>
          <cell r="S903">
            <v>0</v>
          </cell>
          <cell r="T903">
            <v>0</v>
          </cell>
          <cell r="U903">
            <v>0.5</v>
          </cell>
          <cell r="V903">
            <v>0</v>
          </cell>
        </row>
        <row r="904">
          <cell r="Q904">
            <v>0.24</v>
          </cell>
          <cell r="R904">
            <v>0.99940828402366866</v>
          </cell>
          <cell r="S904">
            <v>0</v>
          </cell>
          <cell r="T904">
            <v>0</v>
          </cell>
          <cell r="U904">
            <v>0.5</v>
          </cell>
          <cell r="V904">
            <v>0</v>
          </cell>
        </row>
        <row r="905">
          <cell r="Q905">
            <v>0.24</v>
          </cell>
          <cell r="R905">
            <v>0.99940828402366866</v>
          </cell>
          <cell r="S905">
            <v>0</v>
          </cell>
          <cell r="T905">
            <v>0</v>
          </cell>
          <cell r="U905">
            <v>0.5</v>
          </cell>
          <cell r="V905">
            <v>0</v>
          </cell>
        </row>
        <row r="906">
          <cell r="Q906">
            <v>0.24</v>
          </cell>
          <cell r="R906">
            <v>0.99940828402366866</v>
          </cell>
          <cell r="S906">
            <v>0</v>
          </cell>
          <cell r="T906">
            <v>0</v>
          </cell>
          <cell r="U906">
            <v>0.5</v>
          </cell>
          <cell r="V906">
            <v>0</v>
          </cell>
        </row>
        <row r="907">
          <cell r="Q907">
            <v>0.11428571428571428</v>
          </cell>
          <cell r="R907">
            <v>0.99940828402366866</v>
          </cell>
          <cell r="S907">
            <v>0</v>
          </cell>
          <cell r="T907">
            <v>0</v>
          </cell>
          <cell r="U907">
            <v>0.75</v>
          </cell>
          <cell r="V907">
            <v>0</v>
          </cell>
        </row>
        <row r="908">
          <cell r="Q908">
            <v>0.1</v>
          </cell>
          <cell r="R908">
            <v>0.99940828402366866</v>
          </cell>
          <cell r="S908">
            <v>0</v>
          </cell>
          <cell r="T908">
            <v>0</v>
          </cell>
          <cell r="U908">
            <v>0.5</v>
          </cell>
          <cell r="V908">
            <v>0.27696526508226693</v>
          </cell>
        </row>
        <row r="909">
          <cell r="Q909">
            <v>0.36285714285714288</v>
          </cell>
          <cell r="R909">
            <v>0.99940828402366866</v>
          </cell>
          <cell r="S909">
            <v>0</v>
          </cell>
          <cell r="T909">
            <v>0</v>
          </cell>
          <cell r="U909">
            <v>0.25</v>
          </cell>
          <cell r="V909">
            <v>0</v>
          </cell>
        </row>
        <row r="910">
          <cell r="Q910">
            <v>0.23714285714285716</v>
          </cell>
          <cell r="R910">
            <v>0.99940828402366866</v>
          </cell>
          <cell r="S910">
            <v>0</v>
          </cell>
          <cell r="T910">
            <v>0</v>
          </cell>
          <cell r="U910">
            <v>0.5</v>
          </cell>
          <cell r="V910">
            <v>0</v>
          </cell>
        </row>
        <row r="911">
          <cell r="Q911">
            <v>0.11142857142857143</v>
          </cell>
          <cell r="R911">
            <v>0.99940828402366866</v>
          </cell>
          <cell r="S911">
            <v>0</v>
          </cell>
          <cell r="T911">
            <v>0</v>
          </cell>
          <cell r="U911">
            <v>0.75</v>
          </cell>
          <cell r="V911">
            <v>0</v>
          </cell>
        </row>
        <row r="912">
          <cell r="Q912">
            <v>0.11142857142857143</v>
          </cell>
          <cell r="R912">
            <v>0.99940828402366866</v>
          </cell>
          <cell r="S912">
            <v>0</v>
          </cell>
          <cell r="T912">
            <v>0</v>
          </cell>
          <cell r="U912">
            <v>0.75</v>
          </cell>
          <cell r="V912">
            <v>0</v>
          </cell>
        </row>
        <row r="913">
          <cell r="Q913">
            <v>0.13428571428571429</v>
          </cell>
          <cell r="R913">
            <v>0.99940828402366866</v>
          </cell>
          <cell r="S913">
            <v>0</v>
          </cell>
          <cell r="T913">
            <v>0</v>
          </cell>
          <cell r="U913">
            <v>0.5</v>
          </cell>
          <cell r="V913">
            <v>0.20361990950226244</v>
          </cell>
        </row>
        <row r="914">
          <cell r="Q914">
            <v>0.19428571428571428</v>
          </cell>
          <cell r="R914">
            <v>0.99940828402366866</v>
          </cell>
          <cell r="S914">
            <v>0</v>
          </cell>
          <cell r="T914">
            <v>1</v>
          </cell>
          <cell r="U914">
            <v>0.25</v>
          </cell>
          <cell r="V914">
            <v>0</v>
          </cell>
        </row>
        <row r="915">
          <cell r="Q915">
            <v>8.2857142857142851E-2</v>
          </cell>
          <cell r="R915">
            <v>0.99940828402366866</v>
          </cell>
          <cell r="S915">
            <v>0</v>
          </cell>
          <cell r="T915">
            <v>0.16516408222142084</v>
          </cell>
          <cell r="U915">
            <v>0.75</v>
          </cell>
          <cell r="V915">
            <v>0</v>
          </cell>
        </row>
        <row r="916">
          <cell r="Q916">
            <v>0.36</v>
          </cell>
          <cell r="R916">
            <v>0.99940828402366866</v>
          </cell>
          <cell r="S916">
            <v>0</v>
          </cell>
          <cell r="T916">
            <v>0</v>
          </cell>
          <cell r="U916">
            <v>0.25</v>
          </cell>
          <cell r="V916">
            <v>0</v>
          </cell>
        </row>
        <row r="917">
          <cell r="Q917">
            <v>0.10571428571428572</v>
          </cell>
          <cell r="R917">
            <v>0.99940828402366866</v>
          </cell>
          <cell r="S917">
            <v>0</v>
          </cell>
          <cell r="T917">
            <v>2.4478041756659467E-2</v>
          </cell>
          <cell r="U917">
            <v>0.75</v>
          </cell>
          <cell r="V917">
            <v>0</v>
          </cell>
        </row>
        <row r="918">
          <cell r="Q918">
            <v>0.06</v>
          </cell>
          <cell r="R918">
            <v>0.99940828402366866</v>
          </cell>
          <cell r="S918">
            <v>0</v>
          </cell>
          <cell r="T918">
            <v>0</v>
          </cell>
          <cell r="U918">
            <v>0.5</v>
          </cell>
          <cell r="V918">
            <v>0.3495639534883721</v>
          </cell>
        </row>
        <row r="919">
          <cell r="Q919">
            <v>0.10571428571428572</v>
          </cell>
          <cell r="R919">
            <v>0.99940828402366866</v>
          </cell>
          <cell r="S919">
            <v>0</v>
          </cell>
          <cell r="T919">
            <v>1.9018548955153793E-2</v>
          </cell>
          <cell r="U919">
            <v>0.75</v>
          </cell>
          <cell r="V919">
            <v>0</v>
          </cell>
        </row>
        <row r="920">
          <cell r="Q920">
            <v>0.10857142857142857</v>
          </cell>
          <cell r="R920">
            <v>0.99940828402366866</v>
          </cell>
          <cell r="S920">
            <v>0</v>
          </cell>
          <cell r="T920">
            <v>0</v>
          </cell>
          <cell r="U920">
            <v>0.75</v>
          </cell>
          <cell r="V920">
            <v>0</v>
          </cell>
        </row>
        <row r="921">
          <cell r="Q921">
            <v>0.10857142857142857</v>
          </cell>
          <cell r="R921">
            <v>0.99940828402366866</v>
          </cell>
          <cell r="S921">
            <v>0</v>
          </cell>
          <cell r="T921">
            <v>0</v>
          </cell>
          <cell r="U921">
            <v>0.75</v>
          </cell>
          <cell r="V921">
            <v>0</v>
          </cell>
        </row>
        <row r="922">
          <cell r="Q922">
            <v>0.10857142857142857</v>
          </cell>
          <cell r="R922">
            <v>0.99940828402366866</v>
          </cell>
          <cell r="S922">
            <v>0</v>
          </cell>
          <cell r="T922">
            <v>0</v>
          </cell>
          <cell r="U922">
            <v>0.75</v>
          </cell>
          <cell r="V922">
            <v>0</v>
          </cell>
        </row>
        <row r="923">
          <cell r="Q923">
            <v>0.19142857142857142</v>
          </cell>
          <cell r="R923">
            <v>0.99940828402366866</v>
          </cell>
          <cell r="S923">
            <v>0</v>
          </cell>
          <cell r="T923">
            <v>1</v>
          </cell>
          <cell r="U923">
            <v>0.25</v>
          </cell>
          <cell r="V923">
            <v>0</v>
          </cell>
        </row>
        <row r="924">
          <cell r="Q924">
            <v>0.48285714285714287</v>
          </cell>
          <cell r="R924">
            <v>0.99940828402366866</v>
          </cell>
          <cell r="S924">
            <v>0</v>
          </cell>
          <cell r="T924">
            <v>0</v>
          </cell>
          <cell r="U924">
            <v>0</v>
          </cell>
          <cell r="V924">
            <v>0</v>
          </cell>
        </row>
        <row r="925">
          <cell r="Q925">
            <v>0.12857142857142856</v>
          </cell>
          <cell r="R925">
            <v>0.99940828402366866</v>
          </cell>
          <cell r="S925">
            <v>0</v>
          </cell>
          <cell r="T925">
            <v>0</v>
          </cell>
          <cell r="U925">
            <v>0.5</v>
          </cell>
          <cell r="V925">
            <v>0.2085296889726673</v>
          </cell>
        </row>
        <row r="926">
          <cell r="Q926">
            <v>0.22285714285714286</v>
          </cell>
          <cell r="R926">
            <v>0.99940828402366866</v>
          </cell>
          <cell r="S926">
            <v>0</v>
          </cell>
          <cell r="T926">
            <v>5.8147632311977719E-2</v>
          </cell>
          <cell r="U926">
            <v>0.5</v>
          </cell>
          <cell r="V926">
            <v>0</v>
          </cell>
        </row>
        <row r="927">
          <cell r="Q927">
            <v>8.5714285714285715E-2</v>
          </cell>
          <cell r="R927">
            <v>0.99940828402366866</v>
          </cell>
          <cell r="S927">
            <v>0</v>
          </cell>
          <cell r="T927">
            <v>0</v>
          </cell>
          <cell r="U927">
            <v>0.75</v>
          </cell>
          <cell r="V927">
            <v>4.3522414043232267E-2</v>
          </cell>
        </row>
        <row r="928">
          <cell r="Q928">
            <v>0.1</v>
          </cell>
          <cell r="R928">
            <v>0.99940828402366866</v>
          </cell>
          <cell r="S928">
            <v>0</v>
          </cell>
          <cell r="T928">
            <v>4.3719343143527406E-2</v>
          </cell>
          <cell r="U928">
            <v>0.75</v>
          </cell>
          <cell r="V928">
            <v>0</v>
          </cell>
        </row>
        <row r="929">
          <cell r="Q929">
            <v>6.8571428571428575E-2</v>
          </cell>
          <cell r="R929">
            <v>0.99940828402366866</v>
          </cell>
          <cell r="S929">
            <v>0</v>
          </cell>
          <cell r="T929">
            <v>0</v>
          </cell>
          <cell r="U929">
            <v>0.75</v>
          </cell>
          <cell r="V929">
            <v>7.5867052023121384E-2</v>
          </cell>
        </row>
        <row r="930">
          <cell r="Q930">
            <v>0.23142857142857143</v>
          </cell>
          <cell r="R930">
            <v>0.99940828402366866</v>
          </cell>
          <cell r="S930">
            <v>0</v>
          </cell>
          <cell r="T930">
            <v>0</v>
          </cell>
          <cell r="U930">
            <v>0.5</v>
          </cell>
          <cell r="V930">
            <v>0</v>
          </cell>
        </row>
        <row r="931">
          <cell r="Q931">
            <v>0.23142857142857143</v>
          </cell>
          <cell r="R931">
            <v>0.99940828402366866</v>
          </cell>
          <cell r="S931">
            <v>0</v>
          </cell>
          <cell r="T931">
            <v>0</v>
          </cell>
          <cell r="U931">
            <v>0.5</v>
          </cell>
          <cell r="V931">
            <v>0</v>
          </cell>
        </row>
        <row r="932">
          <cell r="Q932">
            <v>0.23142857142857143</v>
          </cell>
          <cell r="R932">
            <v>0.99940828402366866</v>
          </cell>
          <cell r="S932">
            <v>0</v>
          </cell>
          <cell r="T932">
            <v>0</v>
          </cell>
          <cell r="U932">
            <v>0.5</v>
          </cell>
          <cell r="V932">
            <v>0</v>
          </cell>
        </row>
        <row r="933">
          <cell r="Q933">
            <v>0.23142857142857143</v>
          </cell>
          <cell r="R933">
            <v>0.99940828402366866</v>
          </cell>
          <cell r="S933">
            <v>0</v>
          </cell>
          <cell r="T933">
            <v>0</v>
          </cell>
          <cell r="U933">
            <v>0.5</v>
          </cell>
          <cell r="V933">
            <v>0</v>
          </cell>
        </row>
        <row r="934">
          <cell r="Q934">
            <v>0.10571428571428572</v>
          </cell>
          <cell r="R934">
            <v>0.99940828402366866</v>
          </cell>
          <cell r="S934">
            <v>0</v>
          </cell>
          <cell r="T934">
            <v>0</v>
          </cell>
          <cell r="U934">
            <v>0.75</v>
          </cell>
          <cell r="V934">
            <v>0</v>
          </cell>
        </row>
        <row r="935">
          <cell r="Q935">
            <v>0.10571428571428572</v>
          </cell>
          <cell r="R935">
            <v>0.99940828402366866</v>
          </cell>
          <cell r="S935">
            <v>0</v>
          </cell>
          <cell r="T935">
            <v>0</v>
          </cell>
          <cell r="U935">
            <v>0.75</v>
          </cell>
          <cell r="V935">
            <v>0</v>
          </cell>
        </row>
        <row r="936">
          <cell r="Q936">
            <v>0.10571428571428572</v>
          </cell>
          <cell r="R936">
            <v>0.99940828402366866</v>
          </cell>
          <cell r="S936">
            <v>0</v>
          </cell>
          <cell r="T936">
            <v>0</v>
          </cell>
          <cell r="U936">
            <v>0.75</v>
          </cell>
          <cell r="V936">
            <v>0</v>
          </cell>
        </row>
        <row r="937">
          <cell r="Q937">
            <v>0.13714285714285715</v>
          </cell>
          <cell r="R937">
            <v>0.99940828402366866</v>
          </cell>
          <cell r="S937">
            <v>0</v>
          </cell>
          <cell r="T937">
            <v>0</v>
          </cell>
          <cell r="U937">
            <v>0.5</v>
          </cell>
          <cell r="V937">
            <v>0.18632525197493871</v>
          </cell>
        </row>
        <row r="938">
          <cell r="Q938">
            <v>0.10285714285714286</v>
          </cell>
          <cell r="R938">
            <v>0.99940828402366866</v>
          </cell>
          <cell r="S938">
            <v>0</v>
          </cell>
          <cell r="T938">
            <v>1.0997854077253219E-2</v>
          </cell>
          <cell r="U938">
            <v>0.75</v>
          </cell>
          <cell r="V938">
            <v>0</v>
          </cell>
        </row>
        <row r="939">
          <cell r="Q939">
            <v>6.2857142857142861E-2</v>
          </cell>
          <cell r="R939">
            <v>0.99940828402366866</v>
          </cell>
          <cell r="S939">
            <v>0</v>
          </cell>
          <cell r="T939">
            <v>1</v>
          </cell>
          <cell r="U939">
            <v>0.5</v>
          </cell>
          <cell r="V939">
            <v>0</v>
          </cell>
        </row>
        <row r="940">
          <cell r="Q940">
            <v>6.2857142857142861E-2</v>
          </cell>
          <cell r="R940">
            <v>0.99940828402366866</v>
          </cell>
          <cell r="S940">
            <v>0</v>
          </cell>
          <cell r="T940">
            <v>1</v>
          </cell>
          <cell r="U940">
            <v>0.5</v>
          </cell>
          <cell r="V940">
            <v>0</v>
          </cell>
        </row>
        <row r="941">
          <cell r="Q941">
            <v>0.35428571428571426</v>
          </cell>
          <cell r="R941">
            <v>0.99940828402366866</v>
          </cell>
          <cell r="S941">
            <v>0</v>
          </cell>
          <cell r="T941">
            <v>0</v>
          </cell>
          <cell r="U941">
            <v>0.25</v>
          </cell>
          <cell r="V941">
            <v>0</v>
          </cell>
        </row>
        <row r="942">
          <cell r="Q942">
            <v>0.18571428571428572</v>
          </cell>
          <cell r="R942">
            <v>0.99940828402366866</v>
          </cell>
          <cell r="S942">
            <v>0</v>
          </cell>
          <cell r="T942">
            <v>0</v>
          </cell>
          <cell r="U942">
            <v>0.25</v>
          </cell>
          <cell r="V942">
            <v>0.33660714285714288</v>
          </cell>
        </row>
        <row r="943">
          <cell r="Q943">
            <v>0.3342857142857143</v>
          </cell>
          <cell r="R943">
            <v>0.99940828402366866</v>
          </cell>
          <cell r="S943">
            <v>0</v>
          </cell>
          <cell r="T943">
            <v>0.11794871794871795</v>
          </cell>
          <cell r="U943">
            <v>0.25</v>
          </cell>
          <cell r="V943">
            <v>0</v>
          </cell>
        </row>
        <row r="944">
          <cell r="Q944">
            <v>0.22857142857142856</v>
          </cell>
          <cell r="R944">
            <v>0.99940828402366866</v>
          </cell>
          <cell r="S944">
            <v>0</v>
          </cell>
          <cell r="T944">
            <v>0</v>
          </cell>
          <cell r="U944">
            <v>0.5</v>
          </cell>
          <cell r="V944">
            <v>0</v>
          </cell>
        </row>
        <row r="945">
          <cell r="Q945">
            <v>0.22857142857142856</v>
          </cell>
          <cell r="R945">
            <v>0.99940828402366866</v>
          </cell>
          <cell r="S945">
            <v>0</v>
          </cell>
          <cell r="T945">
            <v>0</v>
          </cell>
          <cell r="U945">
            <v>0.5</v>
          </cell>
          <cell r="V945">
            <v>0</v>
          </cell>
        </row>
        <row r="946">
          <cell r="Q946">
            <v>0.22857142857142856</v>
          </cell>
          <cell r="R946">
            <v>0.99940828402366866</v>
          </cell>
          <cell r="S946">
            <v>0</v>
          </cell>
          <cell r="T946">
            <v>0</v>
          </cell>
          <cell r="U946">
            <v>0.5</v>
          </cell>
          <cell r="V946">
            <v>0</v>
          </cell>
        </row>
        <row r="947">
          <cell r="Q947">
            <v>0.22857142857142856</v>
          </cell>
          <cell r="R947">
            <v>0.99940828402366866</v>
          </cell>
          <cell r="S947">
            <v>0</v>
          </cell>
          <cell r="T947">
            <v>0</v>
          </cell>
          <cell r="U947">
            <v>0.5</v>
          </cell>
          <cell r="V947">
            <v>0</v>
          </cell>
        </row>
        <row r="948">
          <cell r="Q948">
            <v>0.22857142857142856</v>
          </cell>
          <cell r="R948">
            <v>0.99940828402366866</v>
          </cell>
          <cell r="S948">
            <v>0</v>
          </cell>
          <cell r="T948">
            <v>0</v>
          </cell>
          <cell r="U948">
            <v>0.5</v>
          </cell>
          <cell r="V948">
            <v>0</v>
          </cell>
        </row>
        <row r="949">
          <cell r="Q949">
            <v>8.5714285714285715E-2</v>
          </cell>
          <cell r="R949">
            <v>0.99940828402366866</v>
          </cell>
          <cell r="S949">
            <v>0</v>
          </cell>
          <cell r="T949">
            <v>0</v>
          </cell>
          <cell r="U949">
            <v>0.75</v>
          </cell>
          <cell r="V949">
            <v>3.4845826021559285E-2</v>
          </cell>
        </row>
        <row r="950">
          <cell r="Q950">
            <v>7.7142857142857138E-2</v>
          </cell>
          <cell r="R950">
            <v>0.99940828402366866</v>
          </cell>
          <cell r="S950">
            <v>0</v>
          </cell>
          <cell r="T950">
            <v>0</v>
          </cell>
          <cell r="U950">
            <v>0.75</v>
          </cell>
          <cell r="V950">
            <v>5.1495831289847964E-2</v>
          </cell>
        </row>
        <row r="951">
          <cell r="Q951">
            <v>0.26571428571428574</v>
          </cell>
          <cell r="R951">
            <v>0.99940828402366866</v>
          </cell>
          <cell r="S951">
            <v>0</v>
          </cell>
          <cell r="T951">
            <v>0</v>
          </cell>
          <cell r="U951">
            <v>0.25</v>
          </cell>
          <cell r="V951">
            <v>0.17429906542056076</v>
          </cell>
        </row>
        <row r="952">
          <cell r="Q952">
            <v>0.10285714285714286</v>
          </cell>
          <cell r="R952">
            <v>0.99940828402366866</v>
          </cell>
          <cell r="S952">
            <v>0</v>
          </cell>
          <cell r="T952">
            <v>0</v>
          </cell>
          <cell r="U952">
            <v>0.75</v>
          </cell>
          <cell r="V952">
            <v>0</v>
          </cell>
        </row>
        <row r="953">
          <cell r="Q953">
            <v>0.10285714285714286</v>
          </cell>
          <cell r="R953">
            <v>0.99940828402366866</v>
          </cell>
          <cell r="S953">
            <v>0</v>
          </cell>
          <cell r="T953">
            <v>0</v>
          </cell>
          <cell r="U953">
            <v>0.75</v>
          </cell>
          <cell r="V953">
            <v>0</v>
          </cell>
        </row>
        <row r="954">
          <cell r="Q954">
            <v>0.10285714285714286</v>
          </cell>
          <cell r="R954">
            <v>0.99940828402366866</v>
          </cell>
          <cell r="S954">
            <v>0</v>
          </cell>
          <cell r="T954">
            <v>0</v>
          </cell>
          <cell r="U954">
            <v>0.75</v>
          </cell>
          <cell r="V954">
            <v>0</v>
          </cell>
        </row>
        <row r="955">
          <cell r="Q955">
            <v>0.10285714285714286</v>
          </cell>
          <cell r="R955">
            <v>0.99940828402366866</v>
          </cell>
          <cell r="S955">
            <v>0</v>
          </cell>
          <cell r="T955">
            <v>0</v>
          </cell>
          <cell r="U955">
            <v>0.75</v>
          </cell>
          <cell r="V955">
            <v>0</v>
          </cell>
        </row>
        <row r="956">
          <cell r="Q956">
            <v>0.10285714285714286</v>
          </cell>
          <cell r="R956">
            <v>0.99940828402366866</v>
          </cell>
          <cell r="S956">
            <v>0</v>
          </cell>
          <cell r="T956">
            <v>0</v>
          </cell>
          <cell r="U956">
            <v>0.75</v>
          </cell>
          <cell r="V956">
            <v>0</v>
          </cell>
        </row>
        <row r="957">
          <cell r="Q957">
            <v>0.47714285714285715</v>
          </cell>
          <cell r="R957">
            <v>0.99940828402366866</v>
          </cell>
          <cell r="S957">
            <v>0</v>
          </cell>
          <cell r="T957">
            <v>3.0303030303030303E-3</v>
          </cell>
          <cell r="U957">
            <v>0</v>
          </cell>
          <cell r="V957">
            <v>0</v>
          </cell>
        </row>
        <row r="958">
          <cell r="Q958">
            <v>0.18571428571428572</v>
          </cell>
          <cell r="R958">
            <v>0.99940828402366866</v>
          </cell>
          <cell r="S958">
            <v>0</v>
          </cell>
          <cell r="T958">
            <v>1</v>
          </cell>
          <cell r="U958">
            <v>0.25</v>
          </cell>
          <cell r="V958">
            <v>0</v>
          </cell>
        </row>
        <row r="959">
          <cell r="Q959">
            <v>7.7142857142857138E-2</v>
          </cell>
          <cell r="R959">
            <v>0.99940828402366866</v>
          </cell>
          <cell r="S959">
            <v>0</v>
          </cell>
          <cell r="T959">
            <v>0</v>
          </cell>
          <cell r="U959">
            <v>0.75</v>
          </cell>
          <cell r="V959">
            <v>5.0083472454090151E-2</v>
          </cell>
        </row>
        <row r="960">
          <cell r="Q960">
            <v>0.04</v>
          </cell>
          <cell r="R960">
            <v>0.99940828402366866</v>
          </cell>
          <cell r="S960">
            <v>0</v>
          </cell>
          <cell r="T960">
            <v>0.36835299822207856</v>
          </cell>
          <cell r="U960">
            <v>0.75</v>
          </cell>
          <cell r="V960">
            <v>0</v>
          </cell>
        </row>
        <row r="961">
          <cell r="Q961">
            <v>0.2257142857142857</v>
          </cell>
          <cell r="R961">
            <v>0.99940828402366866</v>
          </cell>
          <cell r="S961">
            <v>0</v>
          </cell>
          <cell r="T961">
            <v>0</v>
          </cell>
          <cell r="U961">
            <v>0.5</v>
          </cell>
          <cell r="V961">
            <v>0</v>
          </cell>
        </row>
        <row r="962">
          <cell r="Q962">
            <v>0.2257142857142857</v>
          </cell>
          <cell r="R962">
            <v>0.99940828402366866</v>
          </cell>
          <cell r="S962">
            <v>0</v>
          </cell>
          <cell r="T962">
            <v>0</v>
          </cell>
          <cell r="U962">
            <v>0.5</v>
          </cell>
          <cell r="V962">
            <v>0</v>
          </cell>
        </row>
        <row r="963">
          <cell r="Q963">
            <v>0.1</v>
          </cell>
          <cell r="R963">
            <v>0.99940828402366866</v>
          </cell>
          <cell r="S963">
            <v>0</v>
          </cell>
          <cell r="T963">
            <v>0</v>
          </cell>
          <cell r="U963">
            <v>0.75</v>
          </cell>
          <cell r="V963">
            <v>0</v>
          </cell>
        </row>
        <row r="964">
          <cell r="Q964">
            <v>0.1</v>
          </cell>
          <cell r="R964">
            <v>0.99940828402366866</v>
          </cell>
          <cell r="S964">
            <v>0</v>
          </cell>
          <cell r="T964">
            <v>0</v>
          </cell>
          <cell r="U964">
            <v>0.75</v>
          </cell>
          <cell r="V964">
            <v>0</v>
          </cell>
        </row>
        <row r="965">
          <cell r="Q965">
            <v>0.1</v>
          </cell>
          <cell r="R965">
            <v>0.99940828402366866</v>
          </cell>
          <cell r="S965">
            <v>0</v>
          </cell>
          <cell r="T965">
            <v>0</v>
          </cell>
          <cell r="U965">
            <v>0.75</v>
          </cell>
          <cell r="V965">
            <v>0</v>
          </cell>
        </row>
        <row r="966">
          <cell r="Q966">
            <v>0.1</v>
          </cell>
          <cell r="R966">
            <v>0.99940828402366866</v>
          </cell>
          <cell r="S966">
            <v>0</v>
          </cell>
          <cell r="T966">
            <v>0</v>
          </cell>
          <cell r="U966">
            <v>0.75</v>
          </cell>
          <cell r="V966">
            <v>0</v>
          </cell>
        </row>
        <row r="967">
          <cell r="Q967">
            <v>0.1</v>
          </cell>
          <cell r="R967">
            <v>0.99940828402366866</v>
          </cell>
          <cell r="S967">
            <v>0</v>
          </cell>
          <cell r="T967">
            <v>0</v>
          </cell>
          <cell r="U967">
            <v>0.75</v>
          </cell>
          <cell r="V967">
            <v>0</v>
          </cell>
        </row>
        <row r="968">
          <cell r="Q968">
            <v>0.1</v>
          </cell>
          <cell r="R968">
            <v>0.99940828402366866</v>
          </cell>
          <cell r="S968">
            <v>0</v>
          </cell>
          <cell r="T968">
            <v>0</v>
          </cell>
          <cell r="U968">
            <v>0.75</v>
          </cell>
          <cell r="V968">
            <v>0</v>
          </cell>
        </row>
        <row r="969">
          <cell r="Q969">
            <v>5.7142857142857141E-2</v>
          </cell>
          <cell r="R969">
            <v>0.99940828402366866</v>
          </cell>
          <cell r="S969">
            <v>0</v>
          </cell>
          <cell r="T969">
            <v>1</v>
          </cell>
          <cell r="U969">
            <v>0.5</v>
          </cell>
          <cell r="V969">
            <v>0</v>
          </cell>
        </row>
        <row r="970">
          <cell r="Q970">
            <v>7.4285714285714288E-2</v>
          </cell>
          <cell r="R970">
            <v>0.99940828402366866</v>
          </cell>
          <cell r="S970">
            <v>0</v>
          </cell>
          <cell r="T970">
            <v>3.0667088207398038E-2</v>
          </cell>
          <cell r="U970">
            <v>0.75</v>
          </cell>
          <cell r="V970">
            <v>3.8650015807777424E-2</v>
          </cell>
        </row>
        <row r="971">
          <cell r="Q971">
            <v>0.22285714285714286</v>
          </cell>
          <cell r="R971">
            <v>0.99940828402366866</v>
          </cell>
          <cell r="S971">
            <v>0</v>
          </cell>
          <cell r="T971">
            <v>0</v>
          </cell>
          <cell r="U971">
            <v>0.5</v>
          </cell>
          <cell r="V971">
            <v>0</v>
          </cell>
        </row>
        <row r="972">
          <cell r="Q972">
            <v>9.7142857142857142E-2</v>
          </cell>
          <cell r="R972">
            <v>0.99940828402366866</v>
          </cell>
          <cell r="S972">
            <v>0</v>
          </cell>
          <cell r="T972">
            <v>0</v>
          </cell>
          <cell r="U972">
            <v>0.75</v>
          </cell>
          <cell r="V972">
            <v>0</v>
          </cell>
        </row>
        <row r="973">
          <cell r="Q973">
            <v>9.7142857142857142E-2</v>
          </cell>
          <cell r="R973">
            <v>0.99940828402366866</v>
          </cell>
          <cell r="S973">
            <v>0</v>
          </cell>
          <cell r="T973">
            <v>0</v>
          </cell>
          <cell r="U973">
            <v>0.75</v>
          </cell>
          <cell r="V973">
            <v>0</v>
          </cell>
        </row>
        <row r="974">
          <cell r="Q974">
            <v>9.7142857142857142E-2</v>
          </cell>
          <cell r="R974">
            <v>0.99940828402366866</v>
          </cell>
          <cell r="S974">
            <v>0</v>
          </cell>
          <cell r="T974">
            <v>0</v>
          </cell>
          <cell r="U974">
            <v>0.75</v>
          </cell>
          <cell r="V974">
            <v>0</v>
          </cell>
        </row>
        <row r="975">
          <cell r="Q975">
            <v>0.18</v>
          </cell>
          <cell r="R975">
            <v>0.99940828402366866</v>
          </cell>
          <cell r="S975">
            <v>0</v>
          </cell>
          <cell r="T975">
            <v>1</v>
          </cell>
          <cell r="U975">
            <v>0.25</v>
          </cell>
          <cell r="V975">
            <v>0</v>
          </cell>
        </row>
        <row r="976">
          <cell r="Q976">
            <v>0.21142857142857144</v>
          </cell>
          <cell r="R976">
            <v>0.99940828402366866</v>
          </cell>
          <cell r="S976">
            <v>0</v>
          </cell>
          <cell r="T976">
            <v>0</v>
          </cell>
          <cell r="U976">
            <v>0.5</v>
          </cell>
          <cell r="V976">
            <v>2.0261143628995948E-2</v>
          </cell>
        </row>
        <row r="977">
          <cell r="Q977">
            <v>5.4285714285714284E-2</v>
          </cell>
          <cell r="R977">
            <v>0.99940828402366866</v>
          </cell>
          <cell r="S977">
            <v>0</v>
          </cell>
          <cell r="T977">
            <v>1</v>
          </cell>
          <cell r="U977">
            <v>0.5</v>
          </cell>
          <cell r="V977">
            <v>0</v>
          </cell>
        </row>
        <row r="978">
          <cell r="Q978">
            <v>5.4285714285714284E-2</v>
          </cell>
          <cell r="R978">
            <v>0.99940828402366866</v>
          </cell>
          <cell r="S978">
            <v>0</v>
          </cell>
          <cell r="T978">
            <v>1</v>
          </cell>
          <cell r="U978">
            <v>0.5</v>
          </cell>
          <cell r="V978">
            <v>0</v>
          </cell>
        </row>
        <row r="979">
          <cell r="Q979">
            <v>0.22</v>
          </cell>
          <cell r="R979">
            <v>0.99940828402366866</v>
          </cell>
          <cell r="S979">
            <v>0</v>
          </cell>
          <cell r="T979">
            <v>0</v>
          </cell>
          <cell r="U979">
            <v>0.5</v>
          </cell>
          <cell r="V979">
            <v>0</v>
          </cell>
        </row>
        <row r="980">
          <cell r="Q980">
            <v>9.4285714285714292E-2</v>
          </cell>
          <cell r="R980">
            <v>0.99940828402366866</v>
          </cell>
          <cell r="S980">
            <v>0</v>
          </cell>
          <cell r="T980">
            <v>0</v>
          </cell>
          <cell r="U980">
            <v>0.75</v>
          </cell>
          <cell r="V980">
            <v>0</v>
          </cell>
        </row>
        <row r="981">
          <cell r="Q981">
            <v>9.4285714285714292E-2</v>
          </cell>
          <cell r="R981">
            <v>0.99940828402366866</v>
          </cell>
          <cell r="S981">
            <v>0</v>
          </cell>
          <cell r="T981">
            <v>0</v>
          </cell>
          <cell r="U981">
            <v>0.75</v>
          </cell>
          <cell r="V981">
            <v>0</v>
          </cell>
        </row>
        <row r="982">
          <cell r="Q982">
            <v>9.4285714285714292E-2</v>
          </cell>
          <cell r="R982">
            <v>0.99940828402366866</v>
          </cell>
          <cell r="S982">
            <v>0</v>
          </cell>
          <cell r="T982">
            <v>0</v>
          </cell>
          <cell r="U982">
            <v>0.75</v>
          </cell>
          <cell r="V982">
            <v>0</v>
          </cell>
        </row>
        <row r="983">
          <cell r="Q983">
            <v>9.4285714285714292E-2</v>
          </cell>
          <cell r="R983">
            <v>0.99940828402366866</v>
          </cell>
          <cell r="S983">
            <v>0</v>
          </cell>
          <cell r="T983">
            <v>0</v>
          </cell>
          <cell r="U983">
            <v>0.75</v>
          </cell>
          <cell r="V983">
            <v>0</v>
          </cell>
        </row>
        <row r="984">
          <cell r="Q984">
            <v>9.4285714285714292E-2</v>
          </cell>
          <cell r="R984">
            <v>0.99940828402366866</v>
          </cell>
          <cell r="S984">
            <v>0</v>
          </cell>
          <cell r="T984">
            <v>0</v>
          </cell>
          <cell r="U984">
            <v>0.75</v>
          </cell>
          <cell r="V984">
            <v>0</v>
          </cell>
        </row>
        <row r="985">
          <cell r="Q985">
            <v>8.2857142857142851E-2</v>
          </cell>
          <cell r="R985">
            <v>0.99940828402366866</v>
          </cell>
          <cell r="S985">
            <v>0</v>
          </cell>
          <cell r="T985">
            <v>6.1016949152542375E-2</v>
          </cell>
          <cell r="U985">
            <v>0.75</v>
          </cell>
          <cell r="V985">
            <v>0</v>
          </cell>
        </row>
        <row r="986">
          <cell r="Q986">
            <v>0.14285714285714285</v>
          </cell>
          <cell r="R986">
            <v>0.99940828402366866</v>
          </cell>
          <cell r="S986">
            <v>0</v>
          </cell>
          <cell r="T986">
            <v>0</v>
          </cell>
          <cell r="U986">
            <v>0.5</v>
          </cell>
          <cell r="V986">
            <v>0.14865221987315011</v>
          </cell>
        </row>
        <row r="987">
          <cell r="Q987">
            <v>0.21714285714285714</v>
          </cell>
          <cell r="R987">
            <v>0.99940828402366866</v>
          </cell>
          <cell r="S987">
            <v>0</v>
          </cell>
          <cell r="T987">
            <v>0</v>
          </cell>
          <cell r="U987">
            <v>0.5</v>
          </cell>
          <cell r="V987">
            <v>0</v>
          </cell>
        </row>
        <row r="988">
          <cell r="Q988">
            <v>0.06</v>
          </cell>
          <cell r="R988">
            <v>0.99940828402366866</v>
          </cell>
          <cell r="S988">
            <v>0</v>
          </cell>
          <cell r="T988">
            <v>0</v>
          </cell>
          <cell r="U988">
            <v>0.75</v>
          </cell>
          <cell r="V988">
            <v>6.4088518843120071E-2</v>
          </cell>
        </row>
        <row r="989">
          <cell r="Q989">
            <v>9.1428571428571428E-2</v>
          </cell>
          <cell r="R989">
            <v>0.99940828402366866</v>
          </cell>
          <cell r="S989">
            <v>0</v>
          </cell>
          <cell r="T989">
            <v>0</v>
          </cell>
          <cell r="U989">
            <v>0.75</v>
          </cell>
          <cell r="V989">
            <v>0</v>
          </cell>
        </row>
        <row r="990">
          <cell r="Q990">
            <v>9.1428571428571428E-2</v>
          </cell>
          <cell r="R990">
            <v>0.99940828402366866</v>
          </cell>
          <cell r="S990">
            <v>0</v>
          </cell>
          <cell r="T990">
            <v>0</v>
          </cell>
          <cell r="U990">
            <v>0.75</v>
          </cell>
          <cell r="V990">
            <v>0</v>
          </cell>
        </row>
        <row r="991">
          <cell r="Q991">
            <v>9.1428571428571428E-2</v>
          </cell>
          <cell r="R991">
            <v>0.99940828402366866</v>
          </cell>
          <cell r="S991">
            <v>0</v>
          </cell>
          <cell r="T991">
            <v>0</v>
          </cell>
          <cell r="U991">
            <v>0.75</v>
          </cell>
          <cell r="V991">
            <v>0</v>
          </cell>
        </row>
        <row r="992">
          <cell r="Q992">
            <v>9.1428571428571428E-2</v>
          </cell>
          <cell r="R992">
            <v>0.99940828402366866</v>
          </cell>
          <cell r="S992">
            <v>0</v>
          </cell>
          <cell r="T992">
            <v>0</v>
          </cell>
          <cell r="U992">
            <v>0.75</v>
          </cell>
          <cell r="V992">
            <v>0</v>
          </cell>
        </row>
        <row r="993">
          <cell r="Q993">
            <v>9.1428571428571428E-2</v>
          </cell>
          <cell r="R993">
            <v>0.99940828402366866</v>
          </cell>
          <cell r="S993">
            <v>0</v>
          </cell>
          <cell r="T993">
            <v>0</v>
          </cell>
          <cell r="U993">
            <v>0.75</v>
          </cell>
          <cell r="V993">
            <v>0</v>
          </cell>
        </row>
        <row r="994">
          <cell r="Q994">
            <v>9.1428571428571428E-2</v>
          </cell>
          <cell r="R994">
            <v>0.99940828402366866</v>
          </cell>
          <cell r="S994">
            <v>0</v>
          </cell>
          <cell r="T994">
            <v>0</v>
          </cell>
          <cell r="U994">
            <v>0.75</v>
          </cell>
          <cell r="V994">
            <v>0</v>
          </cell>
        </row>
        <row r="995">
          <cell r="Q995">
            <v>9.1428571428571428E-2</v>
          </cell>
          <cell r="R995">
            <v>0.99940828402366866</v>
          </cell>
          <cell r="S995">
            <v>0</v>
          </cell>
          <cell r="T995">
            <v>0</v>
          </cell>
          <cell r="U995">
            <v>0.75</v>
          </cell>
          <cell r="V995">
            <v>0</v>
          </cell>
        </row>
        <row r="996">
          <cell r="Q996">
            <v>0.21142857142857144</v>
          </cell>
          <cell r="R996">
            <v>0.99940828402366866</v>
          </cell>
          <cell r="S996">
            <v>0</v>
          </cell>
          <cell r="T996">
            <v>2.4494556765163298E-2</v>
          </cell>
          <cell r="U996">
            <v>0.5</v>
          </cell>
          <cell r="V996">
            <v>0</v>
          </cell>
        </row>
        <row r="997">
          <cell r="Q997">
            <v>0.21428571428571427</v>
          </cell>
          <cell r="R997">
            <v>0.99940828402366866</v>
          </cell>
          <cell r="S997">
            <v>0</v>
          </cell>
          <cell r="T997">
            <v>0</v>
          </cell>
          <cell r="U997">
            <v>0.5</v>
          </cell>
          <cell r="V997">
            <v>0</v>
          </cell>
        </row>
        <row r="998">
          <cell r="Q998">
            <v>0.21428571428571427</v>
          </cell>
          <cell r="R998">
            <v>0.99940828402366866</v>
          </cell>
          <cell r="S998">
            <v>0</v>
          </cell>
          <cell r="T998">
            <v>0</v>
          </cell>
          <cell r="U998">
            <v>0.5</v>
          </cell>
          <cell r="V998">
            <v>0</v>
          </cell>
        </row>
        <row r="999">
          <cell r="Q999">
            <v>0.08</v>
          </cell>
          <cell r="R999">
            <v>0.99940828402366866</v>
          </cell>
          <cell r="S999">
            <v>0</v>
          </cell>
          <cell r="T999">
            <v>5.4074074074074073E-2</v>
          </cell>
          <cell r="U999">
            <v>0.75</v>
          </cell>
          <cell r="V999">
            <v>0</v>
          </cell>
        </row>
        <row r="1000">
          <cell r="Q1000">
            <v>0.17714285714285713</v>
          </cell>
          <cell r="R1000">
            <v>0.99940828402366866</v>
          </cell>
          <cell r="S1000">
            <v>0</v>
          </cell>
          <cell r="T1000">
            <v>0</v>
          </cell>
          <cell r="U1000">
            <v>0.5</v>
          </cell>
          <cell r="V1000">
            <v>7.286269430051813E-2</v>
          </cell>
        </row>
        <row r="1001">
          <cell r="Q1001">
            <v>8.8571428571428565E-2</v>
          </cell>
          <cell r="R1001">
            <v>0.99940828402366866</v>
          </cell>
          <cell r="S1001">
            <v>0</v>
          </cell>
          <cell r="T1001">
            <v>0</v>
          </cell>
          <cell r="U1001">
            <v>0.75</v>
          </cell>
          <cell r="V1001">
            <v>0</v>
          </cell>
        </row>
        <row r="1002">
          <cell r="Q1002">
            <v>8.8571428571428565E-2</v>
          </cell>
          <cell r="R1002">
            <v>0.99940828402366866</v>
          </cell>
          <cell r="S1002">
            <v>0</v>
          </cell>
          <cell r="T1002">
            <v>0</v>
          </cell>
          <cell r="U1002">
            <v>0.75</v>
          </cell>
          <cell r="V1002">
            <v>0</v>
          </cell>
        </row>
        <row r="1003">
          <cell r="Q1003">
            <v>8.8571428571428565E-2</v>
          </cell>
          <cell r="R1003">
            <v>0.99940828402366866</v>
          </cell>
          <cell r="S1003">
            <v>0</v>
          </cell>
          <cell r="T1003">
            <v>0</v>
          </cell>
          <cell r="U1003">
            <v>0.75</v>
          </cell>
          <cell r="V1003">
            <v>0</v>
          </cell>
        </row>
        <row r="1004">
          <cell r="Q1004">
            <v>8.8571428571428565E-2</v>
          </cell>
          <cell r="R1004">
            <v>0.99940828402366866</v>
          </cell>
          <cell r="S1004">
            <v>0</v>
          </cell>
          <cell r="T1004">
            <v>0</v>
          </cell>
          <cell r="U1004">
            <v>0.75</v>
          </cell>
          <cell r="V1004">
            <v>0</v>
          </cell>
        </row>
        <row r="1005">
          <cell r="Q1005">
            <v>4.5714285714285714E-2</v>
          </cell>
          <cell r="R1005">
            <v>0.99940828402366866</v>
          </cell>
          <cell r="S1005">
            <v>0</v>
          </cell>
          <cell r="T1005">
            <v>1</v>
          </cell>
          <cell r="U1005">
            <v>0.5</v>
          </cell>
          <cell r="V1005">
            <v>0</v>
          </cell>
        </row>
        <row r="1006">
          <cell r="Q1006">
            <v>0.21142857142857144</v>
          </cell>
          <cell r="R1006">
            <v>0.99940828402366866</v>
          </cell>
          <cell r="S1006">
            <v>0</v>
          </cell>
          <cell r="T1006">
            <v>0</v>
          </cell>
          <cell r="U1006">
            <v>0.5</v>
          </cell>
          <cell r="V1006">
            <v>0</v>
          </cell>
        </row>
        <row r="1007">
          <cell r="Q1007">
            <v>0.21142857142857144</v>
          </cell>
          <cell r="R1007">
            <v>0.99940828402366866</v>
          </cell>
          <cell r="S1007">
            <v>0</v>
          </cell>
          <cell r="T1007">
            <v>0</v>
          </cell>
          <cell r="U1007">
            <v>0.5</v>
          </cell>
          <cell r="V1007">
            <v>0</v>
          </cell>
        </row>
        <row r="1008">
          <cell r="Q1008">
            <v>0.21142857142857144</v>
          </cell>
          <cell r="R1008">
            <v>0.99940828402366866</v>
          </cell>
          <cell r="S1008">
            <v>0</v>
          </cell>
          <cell r="T1008">
            <v>0</v>
          </cell>
          <cell r="U1008">
            <v>0.5</v>
          </cell>
          <cell r="V1008">
            <v>0</v>
          </cell>
        </row>
        <row r="1009">
          <cell r="Q1009">
            <v>0.21142857142857144</v>
          </cell>
          <cell r="R1009">
            <v>0.99940828402366866</v>
          </cell>
          <cell r="S1009">
            <v>0</v>
          </cell>
          <cell r="T1009">
            <v>0</v>
          </cell>
          <cell r="U1009">
            <v>0.5</v>
          </cell>
          <cell r="V1009">
            <v>0</v>
          </cell>
        </row>
        <row r="1010">
          <cell r="Q1010">
            <v>0.21142857142857144</v>
          </cell>
          <cell r="R1010">
            <v>0.99940828402366866</v>
          </cell>
          <cell r="S1010">
            <v>0</v>
          </cell>
          <cell r="T1010">
            <v>0</v>
          </cell>
          <cell r="U1010">
            <v>0.5</v>
          </cell>
          <cell r="V1010">
            <v>0</v>
          </cell>
        </row>
        <row r="1011">
          <cell r="Q1011">
            <v>0.21142857142857144</v>
          </cell>
          <cell r="R1011">
            <v>0.99940828402366866</v>
          </cell>
          <cell r="S1011">
            <v>0</v>
          </cell>
          <cell r="T1011">
            <v>0</v>
          </cell>
          <cell r="U1011">
            <v>0.5</v>
          </cell>
          <cell r="V1011">
            <v>0</v>
          </cell>
        </row>
        <row r="1012">
          <cell r="Q1012">
            <v>8.5714285714285715E-2</v>
          </cell>
          <cell r="R1012">
            <v>0.99940828402366866</v>
          </cell>
          <cell r="S1012">
            <v>0</v>
          </cell>
          <cell r="T1012">
            <v>0</v>
          </cell>
          <cell r="U1012">
            <v>0.75</v>
          </cell>
          <cell r="V1012">
            <v>0</v>
          </cell>
        </row>
        <row r="1013">
          <cell r="Q1013">
            <v>8.5714285714285715E-2</v>
          </cell>
          <cell r="R1013">
            <v>0.99940828402366866</v>
          </cell>
          <cell r="S1013">
            <v>0</v>
          </cell>
          <cell r="T1013">
            <v>0</v>
          </cell>
          <cell r="U1013">
            <v>0.75</v>
          </cell>
          <cell r="V1013">
            <v>0</v>
          </cell>
        </row>
        <row r="1014">
          <cell r="Q1014">
            <v>8.5714285714285715E-2</v>
          </cell>
          <cell r="R1014">
            <v>0.99940828402366866</v>
          </cell>
          <cell r="S1014">
            <v>0</v>
          </cell>
          <cell r="T1014">
            <v>0</v>
          </cell>
          <cell r="U1014">
            <v>0.75</v>
          </cell>
          <cell r="V1014">
            <v>0</v>
          </cell>
        </row>
        <row r="1015">
          <cell r="Q1015">
            <v>8.5714285714285715E-2</v>
          </cell>
          <cell r="R1015">
            <v>0.99940828402366866</v>
          </cell>
          <cell r="S1015">
            <v>0</v>
          </cell>
          <cell r="T1015">
            <v>0</v>
          </cell>
          <cell r="U1015">
            <v>0.75</v>
          </cell>
          <cell r="V1015">
            <v>0</v>
          </cell>
        </row>
        <row r="1016">
          <cell r="Q1016">
            <v>8.5714285714285715E-2</v>
          </cell>
          <cell r="R1016">
            <v>0.99940828402366866</v>
          </cell>
          <cell r="S1016">
            <v>0</v>
          </cell>
          <cell r="T1016">
            <v>0</v>
          </cell>
          <cell r="U1016">
            <v>0.75</v>
          </cell>
          <cell r="V1016">
            <v>0</v>
          </cell>
        </row>
        <row r="1017">
          <cell r="Q1017">
            <v>8.5714285714285715E-2</v>
          </cell>
          <cell r="R1017">
            <v>0.99940828402366866</v>
          </cell>
          <cell r="S1017">
            <v>0</v>
          </cell>
          <cell r="T1017">
            <v>0</v>
          </cell>
          <cell r="U1017">
            <v>0.75</v>
          </cell>
          <cell r="V1017">
            <v>0</v>
          </cell>
        </row>
        <row r="1018">
          <cell r="Q1018">
            <v>8.5714285714285715E-2</v>
          </cell>
          <cell r="R1018">
            <v>0.99940828402366866</v>
          </cell>
          <cell r="S1018">
            <v>0</v>
          </cell>
          <cell r="T1018">
            <v>0</v>
          </cell>
          <cell r="U1018">
            <v>0.75</v>
          </cell>
          <cell r="V1018">
            <v>0</v>
          </cell>
        </row>
        <row r="1019">
          <cell r="Q1019">
            <v>8.5714285714285715E-2</v>
          </cell>
          <cell r="R1019">
            <v>0.99940828402366866</v>
          </cell>
          <cell r="S1019">
            <v>0</v>
          </cell>
          <cell r="T1019">
            <v>0</v>
          </cell>
          <cell r="U1019">
            <v>0.75</v>
          </cell>
          <cell r="V1019">
            <v>0</v>
          </cell>
        </row>
        <row r="1020">
          <cell r="Q1020">
            <v>8.5714285714285715E-2</v>
          </cell>
          <cell r="R1020">
            <v>0.99940828402366866</v>
          </cell>
          <cell r="S1020">
            <v>0</v>
          </cell>
          <cell r="T1020">
            <v>0</v>
          </cell>
          <cell r="U1020">
            <v>0.75</v>
          </cell>
          <cell r="V1020">
            <v>0</v>
          </cell>
        </row>
        <row r="1021">
          <cell r="Q1021">
            <v>8.5714285714285715E-2</v>
          </cell>
          <cell r="R1021">
            <v>0.99940828402366866</v>
          </cell>
          <cell r="S1021">
            <v>0</v>
          </cell>
          <cell r="T1021">
            <v>0</v>
          </cell>
          <cell r="U1021">
            <v>0.75</v>
          </cell>
          <cell r="V1021">
            <v>0</v>
          </cell>
        </row>
        <row r="1022">
          <cell r="Q1022">
            <v>8.5714285714285715E-2</v>
          </cell>
          <cell r="R1022">
            <v>0.99940828402366866</v>
          </cell>
          <cell r="S1022">
            <v>0</v>
          </cell>
          <cell r="T1022">
            <v>0</v>
          </cell>
          <cell r="U1022">
            <v>0.75</v>
          </cell>
          <cell r="V1022">
            <v>0</v>
          </cell>
        </row>
        <row r="1023">
          <cell r="Q1023">
            <v>8.5714285714285715E-2</v>
          </cell>
          <cell r="R1023">
            <v>0.99940828402366866</v>
          </cell>
          <cell r="S1023">
            <v>0</v>
          </cell>
          <cell r="T1023">
            <v>0</v>
          </cell>
          <cell r="U1023">
            <v>0.75</v>
          </cell>
          <cell r="V1023">
            <v>0</v>
          </cell>
        </row>
        <row r="1024">
          <cell r="Q1024">
            <v>0.08</v>
          </cell>
          <cell r="R1024">
            <v>0.99940828402366866</v>
          </cell>
          <cell r="S1024">
            <v>0</v>
          </cell>
          <cell r="T1024">
            <v>0</v>
          </cell>
          <cell r="U1024">
            <v>0.75</v>
          </cell>
          <cell r="V1024">
            <v>1.092896174863388E-2</v>
          </cell>
        </row>
        <row r="1025">
          <cell r="Q1025">
            <v>8.2857142857142851E-2</v>
          </cell>
          <cell r="R1025">
            <v>0.99940828402366866</v>
          </cell>
          <cell r="S1025">
            <v>0</v>
          </cell>
          <cell r="T1025">
            <v>0</v>
          </cell>
          <cell r="U1025">
            <v>0.75</v>
          </cell>
          <cell r="V1025">
            <v>1.7478443253320904E-3</v>
          </cell>
        </row>
        <row r="1026">
          <cell r="Q1026">
            <v>0.20857142857142857</v>
          </cell>
          <cell r="R1026">
            <v>0.99940828402366866</v>
          </cell>
          <cell r="S1026">
            <v>0</v>
          </cell>
          <cell r="T1026">
            <v>0</v>
          </cell>
          <cell r="U1026">
            <v>0.5</v>
          </cell>
          <cell r="V1026">
            <v>0</v>
          </cell>
        </row>
        <row r="1027">
          <cell r="Q1027">
            <v>5.7142857142857141E-2</v>
          </cell>
          <cell r="R1027">
            <v>0.99940828402366866</v>
          </cell>
          <cell r="S1027">
            <v>0</v>
          </cell>
          <cell r="T1027">
            <v>0</v>
          </cell>
          <cell r="U1027">
            <v>0.75</v>
          </cell>
          <cell r="V1027">
            <v>5.2820848122548107E-2</v>
          </cell>
        </row>
        <row r="1028">
          <cell r="Q1028">
            <v>8.2857142857142851E-2</v>
          </cell>
          <cell r="R1028">
            <v>0.99940828402366866</v>
          </cell>
          <cell r="S1028">
            <v>0</v>
          </cell>
          <cell r="T1028">
            <v>0</v>
          </cell>
          <cell r="U1028">
            <v>0.75</v>
          </cell>
          <cell r="V1028">
            <v>0</v>
          </cell>
        </row>
        <row r="1029">
          <cell r="Q1029">
            <v>8.2857142857142851E-2</v>
          </cell>
          <cell r="R1029">
            <v>0.99940828402366866</v>
          </cell>
          <cell r="S1029">
            <v>0</v>
          </cell>
          <cell r="T1029">
            <v>0</v>
          </cell>
          <cell r="U1029">
            <v>0.75</v>
          </cell>
          <cell r="V1029">
            <v>0</v>
          </cell>
        </row>
        <row r="1030">
          <cell r="Q1030">
            <v>8.2857142857142851E-2</v>
          </cell>
          <cell r="R1030">
            <v>0.99940828402366866</v>
          </cell>
          <cell r="S1030">
            <v>0</v>
          </cell>
          <cell r="T1030">
            <v>0</v>
          </cell>
          <cell r="U1030">
            <v>0.75</v>
          </cell>
          <cell r="V1030">
            <v>0</v>
          </cell>
        </row>
        <row r="1031">
          <cell r="Q1031">
            <v>8.2857142857142851E-2</v>
          </cell>
          <cell r="R1031">
            <v>0.99940828402366866</v>
          </cell>
          <cell r="S1031">
            <v>0</v>
          </cell>
          <cell r="T1031">
            <v>0</v>
          </cell>
          <cell r="U1031">
            <v>0.75</v>
          </cell>
          <cell r="V1031">
            <v>0</v>
          </cell>
        </row>
        <row r="1032">
          <cell r="Q1032">
            <v>8.2857142857142851E-2</v>
          </cell>
          <cell r="R1032">
            <v>0.99940828402366866</v>
          </cell>
          <cell r="S1032">
            <v>0</v>
          </cell>
          <cell r="T1032">
            <v>0</v>
          </cell>
          <cell r="U1032">
            <v>0.75</v>
          </cell>
          <cell r="V1032">
            <v>0</v>
          </cell>
        </row>
        <row r="1033">
          <cell r="Q1033">
            <v>8.2857142857142851E-2</v>
          </cell>
          <cell r="R1033">
            <v>0.99940828402366866</v>
          </cell>
          <cell r="S1033">
            <v>0</v>
          </cell>
          <cell r="T1033">
            <v>0</v>
          </cell>
          <cell r="U1033">
            <v>0.75</v>
          </cell>
          <cell r="V1033">
            <v>0</v>
          </cell>
        </row>
        <row r="1034">
          <cell r="Q1034">
            <v>0.32571428571428573</v>
          </cell>
          <cell r="R1034">
            <v>0.99940828402366866</v>
          </cell>
          <cell r="S1034">
            <v>0</v>
          </cell>
          <cell r="T1034">
            <v>0</v>
          </cell>
          <cell r="U1034">
            <v>0.25</v>
          </cell>
          <cell r="V1034">
            <v>1.3804527885146328E-2</v>
          </cell>
        </row>
        <row r="1035">
          <cell r="Q1035">
            <v>0.17142857142857143</v>
          </cell>
          <cell r="R1035">
            <v>0.99940828402366866</v>
          </cell>
          <cell r="S1035">
            <v>0</v>
          </cell>
          <cell r="T1035">
            <v>0</v>
          </cell>
          <cell r="U1035">
            <v>0.5</v>
          </cell>
          <cell r="V1035">
            <v>7.0699135899450122E-2</v>
          </cell>
        </row>
        <row r="1036">
          <cell r="Q1036">
            <v>0.16285714285714287</v>
          </cell>
          <cell r="R1036">
            <v>0.99940828402366866</v>
          </cell>
          <cell r="S1036">
            <v>0</v>
          </cell>
          <cell r="T1036">
            <v>0.26241134751773049</v>
          </cell>
          <cell r="U1036">
            <v>0.5</v>
          </cell>
          <cell r="V1036">
            <v>0</v>
          </cell>
        </row>
        <row r="1037">
          <cell r="Q1037">
            <v>7.1428571428571425E-2</v>
          </cell>
          <cell r="R1037">
            <v>0.99940828402366866</v>
          </cell>
          <cell r="S1037">
            <v>0</v>
          </cell>
          <cell r="T1037">
            <v>0</v>
          </cell>
          <cell r="U1037">
            <v>0.5</v>
          </cell>
          <cell r="V1037">
            <v>0.26874999999999999</v>
          </cell>
        </row>
        <row r="1038">
          <cell r="Q1038">
            <v>0.20571428571428571</v>
          </cell>
          <cell r="R1038">
            <v>0.99940828402366866</v>
          </cell>
          <cell r="S1038">
            <v>0</v>
          </cell>
          <cell r="T1038">
            <v>0</v>
          </cell>
          <cell r="U1038">
            <v>0.5</v>
          </cell>
          <cell r="V1038">
            <v>0</v>
          </cell>
        </row>
        <row r="1039">
          <cell r="Q1039">
            <v>0.20571428571428571</v>
          </cell>
          <cell r="R1039">
            <v>0.99940828402366866</v>
          </cell>
          <cell r="S1039">
            <v>0</v>
          </cell>
          <cell r="T1039">
            <v>0</v>
          </cell>
          <cell r="U1039">
            <v>0.5</v>
          </cell>
          <cell r="V1039">
            <v>0</v>
          </cell>
        </row>
        <row r="1040">
          <cell r="Q1040">
            <v>0.20571428571428571</v>
          </cell>
          <cell r="R1040">
            <v>0.99940828402366866</v>
          </cell>
          <cell r="S1040">
            <v>0</v>
          </cell>
          <cell r="T1040">
            <v>0</v>
          </cell>
          <cell r="U1040">
            <v>0.5</v>
          </cell>
          <cell r="V1040">
            <v>0</v>
          </cell>
        </row>
        <row r="1041">
          <cell r="Q1041">
            <v>0.08</v>
          </cell>
          <cell r="R1041">
            <v>0.99940828402366866</v>
          </cell>
          <cell r="S1041">
            <v>0</v>
          </cell>
          <cell r="T1041">
            <v>0</v>
          </cell>
          <cell r="U1041">
            <v>0.75</v>
          </cell>
          <cell r="V1041">
            <v>0</v>
          </cell>
        </row>
        <row r="1042">
          <cell r="Q1042">
            <v>0.08</v>
          </cell>
          <cell r="R1042">
            <v>0.99940828402366866</v>
          </cell>
          <cell r="S1042">
            <v>0</v>
          </cell>
          <cell r="T1042">
            <v>0</v>
          </cell>
          <cell r="U1042">
            <v>0.75</v>
          </cell>
          <cell r="V1042">
            <v>0</v>
          </cell>
        </row>
        <row r="1043">
          <cell r="Q1043">
            <v>0.08</v>
          </cell>
          <cell r="R1043">
            <v>0.99940828402366866</v>
          </cell>
          <cell r="S1043">
            <v>0</v>
          </cell>
          <cell r="T1043">
            <v>0</v>
          </cell>
          <cell r="U1043">
            <v>0.75</v>
          </cell>
          <cell r="V1043">
            <v>0</v>
          </cell>
        </row>
        <row r="1044">
          <cell r="Q1044">
            <v>0.08</v>
          </cell>
          <cell r="R1044">
            <v>0.99940828402366866</v>
          </cell>
          <cell r="S1044">
            <v>0</v>
          </cell>
          <cell r="T1044">
            <v>0</v>
          </cell>
          <cell r="U1044">
            <v>0.75</v>
          </cell>
          <cell r="V1044">
            <v>0</v>
          </cell>
        </row>
        <row r="1045">
          <cell r="Q1045">
            <v>6.8571428571428575E-2</v>
          </cell>
          <cell r="R1045">
            <v>0.99940828402366866</v>
          </cell>
          <cell r="S1045">
            <v>0</v>
          </cell>
          <cell r="T1045">
            <v>0</v>
          </cell>
          <cell r="U1045">
            <v>0.75</v>
          </cell>
          <cell r="V1045">
            <v>2.2730716775268979E-2</v>
          </cell>
        </row>
        <row r="1046">
          <cell r="Q1046">
            <v>6.5714285714285711E-2</v>
          </cell>
          <cell r="R1046">
            <v>0.99940828402366866</v>
          </cell>
          <cell r="S1046">
            <v>0</v>
          </cell>
          <cell r="T1046">
            <v>8.0382775119617222E-2</v>
          </cell>
          <cell r="U1046">
            <v>0.75</v>
          </cell>
          <cell r="V1046">
            <v>0</v>
          </cell>
        </row>
        <row r="1047">
          <cell r="Q1047">
            <v>3.7142857142857144E-2</v>
          </cell>
          <cell r="R1047">
            <v>0.99940828402366866</v>
          </cell>
          <cell r="S1047">
            <v>0</v>
          </cell>
          <cell r="T1047">
            <v>1</v>
          </cell>
          <cell r="U1047">
            <v>0.5</v>
          </cell>
          <cell r="V1047">
            <v>0</v>
          </cell>
        </row>
        <row r="1048">
          <cell r="Q1048">
            <v>0.1657142857142857</v>
          </cell>
          <cell r="R1048">
            <v>0.99940828402366866</v>
          </cell>
          <cell r="S1048">
            <v>0</v>
          </cell>
          <cell r="T1048">
            <v>0</v>
          </cell>
          <cell r="U1048">
            <v>0.5</v>
          </cell>
          <cell r="V1048">
            <v>7.4417705615154151E-2</v>
          </cell>
        </row>
        <row r="1049">
          <cell r="Q1049">
            <v>0.20285714285714285</v>
          </cell>
          <cell r="R1049">
            <v>0.99940828402366866</v>
          </cell>
          <cell r="S1049">
            <v>0</v>
          </cell>
          <cell r="T1049">
            <v>0</v>
          </cell>
          <cell r="U1049">
            <v>0.5</v>
          </cell>
          <cell r="V1049">
            <v>0</v>
          </cell>
        </row>
        <row r="1050">
          <cell r="Q1050">
            <v>7.7142857142857138E-2</v>
          </cell>
          <cell r="R1050">
            <v>0.99940828402366866</v>
          </cell>
          <cell r="S1050">
            <v>0</v>
          </cell>
          <cell r="T1050">
            <v>0</v>
          </cell>
          <cell r="U1050">
            <v>0.75</v>
          </cell>
          <cell r="V1050">
            <v>0</v>
          </cell>
        </row>
        <row r="1051">
          <cell r="Q1051">
            <v>0.2257142857142857</v>
          </cell>
          <cell r="R1051">
            <v>0.99940828402366866</v>
          </cell>
          <cell r="S1051">
            <v>0</v>
          </cell>
          <cell r="T1051">
            <v>0</v>
          </cell>
          <cell r="U1051">
            <v>0.25</v>
          </cell>
          <cell r="V1051">
            <v>0.20220588235294118</v>
          </cell>
        </row>
        <row r="1052">
          <cell r="Q1052">
            <v>3.1428571428571431E-2</v>
          </cell>
          <cell r="R1052">
            <v>0.99940828402366866</v>
          </cell>
          <cell r="S1052">
            <v>0</v>
          </cell>
          <cell r="T1052">
            <v>0</v>
          </cell>
          <cell r="U1052">
            <v>0.75</v>
          </cell>
          <cell r="V1052">
            <v>8.6206896551724144E-2</v>
          </cell>
        </row>
        <row r="1053">
          <cell r="Q1053">
            <v>7.4285714285714288E-2</v>
          </cell>
          <cell r="R1053">
            <v>0.99940828402366866</v>
          </cell>
          <cell r="S1053">
            <v>0</v>
          </cell>
          <cell r="T1053">
            <v>0</v>
          </cell>
          <cell r="U1053">
            <v>0.75</v>
          </cell>
          <cell r="V1053">
            <v>0</v>
          </cell>
        </row>
        <row r="1054">
          <cell r="Q1054">
            <v>7.4285714285714288E-2</v>
          </cell>
          <cell r="R1054">
            <v>0.99940828402366866</v>
          </cell>
          <cell r="S1054">
            <v>0</v>
          </cell>
          <cell r="T1054">
            <v>0</v>
          </cell>
          <cell r="U1054">
            <v>0.75</v>
          </cell>
          <cell r="V1054">
            <v>0</v>
          </cell>
        </row>
        <row r="1055">
          <cell r="Q1055">
            <v>7.4285714285714288E-2</v>
          </cell>
          <cell r="R1055">
            <v>0.99940828402366866</v>
          </cell>
          <cell r="S1055">
            <v>0</v>
          </cell>
          <cell r="T1055">
            <v>0</v>
          </cell>
          <cell r="U1055">
            <v>0.75</v>
          </cell>
          <cell r="V1055">
            <v>0</v>
          </cell>
        </row>
        <row r="1056">
          <cell r="Q1056">
            <v>7.4285714285714288E-2</v>
          </cell>
          <cell r="R1056">
            <v>0.99940828402366866</v>
          </cell>
          <cell r="S1056">
            <v>0</v>
          </cell>
          <cell r="T1056">
            <v>0</v>
          </cell>
          <cell r="U1056">
            <v>0.75</v>
          </cell>
          <cell r="V1056">
            <v>0</v>
          </cell>
        </row>
        <row r="1057">
          <cell r="Q1057">
            <v>0.15714285714285714</v>
          </cell>
          <cell r="R1057">
            <v>0.99940828402366866</v>
          </cell>
          <cell r="S1057">
            <v>0</v>
          </cell>
          <cell r="T1057">
            <v>1</v>
          </cell>
          <cell r="U1057">
            <v>0.25</v>
          </cell>
          <cell r="V1057">
            <v>0</v>
          </cell>
        </row>
        <row r="1058">
          <cell r="Q1058">
            <v>0.15714285714285714</v>
          </cell>
          <cell r="R1058">
            <v>0.99940828402366866</v>
          </cell>
          <cell r="S1058">
            <v>0</v>
          </cell>
          <cell r="T1058">
            <v>1</v>
          </cell>
          <cell r="U1058">
            <v>0.25</v>
          </cell>
          <cell r="V1058">
            <v>0</v>
          </cell>
        </row>
        <row r="1059">
          <cell r="Q1059">
            <v>0.14571428571428571</v>
          </cell>
          <cell r="R1059">
            <v>0.99940828402366866</v>
          </cell>
          <cell r="S1059">
            <v>0</v>
          </cell>
          <cell r="T1059">
            <v>0</v>
          </cell>
          <cell r="U1059">
            <v>0.5</v>
          </cell>
          <cell r="V1059">
            <v>0.10611486486486486</v>
          </cell>
        </row>
        <row r="1060">
          <cell r="Q1060">
            <v>0.19714285714285715</v>
          </cell>
          <cell r="R1060">
            <v>0.99940828402366866</v>
          </cell>
          <cell r="S1060">
            <v>0</v>
          </cell>
          <cell r="T1060">
            <v>0</v>
          </cell>
          <cell r="U1060">
            <v>0.5</v>
          </cell>
          <cell r="V1060">
            <v>0</v>
          </cell>
        </row>
        <row r="1061">
          <cell r="Q1061">
            <v>0.19714285714285715</v>
          </cell>
          <cell r="R1061">
            <v>0.99940828402366866</v>
          </cell>
          <cell r="S1061">
            <v>0</v>
          </cell>
          <cell r="T1061">
            <v>0</v>
          </cell>
          <cell r="U1061">
            <v>0.5</v>
          </cell>
          <cell r="V1061">
            <v>0</v>
          </cell>
        </row>
        <row r="1062">
          <cell r="Q1062">
            <v>0.19714285714285715</v>
          </cell>
          <cell r="R1062">
            <v>0.99940828402366866</v>
          </cell>
          <cell r="S1062">
            <v>0</v>
          </cell>
          <cell r="T1062">
            <v>0</v>
          </cell>
          <cell r="U1062">
            <v>0.5</v>
          </cell>
          <cell r="V1062">
            <v>0</v>
          </cell>
        </row>
        <row r="1063">
          <cell r="Q1063">
            <v>6.2857142857142861E-2</v>
          </cell>
          <cell r="R1063">
            <v>0.99940828402366866</v>
          </cell>
          <cell r="S1063">
            <v>0</v>
          </cell>
          <cell r="T1063">
            <v>5.3420805998125584E-2</v>
          </cell>
          <cell r="U1063">
            <v>0.75</v>
          </cell>
          <cell r="V1063">
            <v>0</v>
          </cell>
        </row>
        <row r="1064">
          <cell r="Q1064">
            <v>7.1428571428571425E-2</v>
          </cell>
          <cell r="R1064">
            <v>0.99940828402366866</v>
          </cell>
          <cell r="S1064">
            <v>0</v>
          </cell>
          <cell r="T1064">
            <v>0</v>
          </cell>
          <cell r="U1064">
            <v>0.75</v>
          </cell>
          <cell r="V1064">
            <v>0</v>
          </cell>
        </row>
        <row r="1065">
          <cell r="Q1065">
            <v>7.1428571428571425E-2</v>
          </cell>
          <cell r="R1065">
            <v>0.99940828402366866</v>
          </cell>
          <cell r="S1065">
            <v>0</v>
          </cell>
          <cell r="T1065">
            <v>0</v>
          </cell>
          <cell r="U1065">
            <v>0.75</v>
          </cell>
          <cell r="V1065">
            <v>0</v>
          </cell>
        </row>
        <row r="1066">
          <cell r="Q1066">
            <v>7.1428571428571425E-2</v>
          </cell>
          <cell r="R1066">
            <v>0.99940828402366866</v>
          </cell>
          <cell r="S1066">
            <v>0</v>
          </cell>
          <cell r="T1066">
            <v>0</v>
          </cell>
          <cell r="U1066">
            <v>0.75</v>
          </cell>
          <cell r="V1066">
            <v>0</v>
          </cell>
        </row>
        <row r="1067">
          <cell r="Q1067">
            <v>7.1428571428571425E-2</v>
          </cell>
          <cell r="R1067">
            <v>0.99940828402366866</v>
          </cell>
          <cell r="S1067">
            <v>0</v>
          </cell>
          <cell r="T1067">
            <v>0</v>
          </cell>
          <cell r="U1067">
            <v>0.75</v>
          </cell>
          <cell r="V1067">
            <v>0</v>
          </cell>
        </row>
        <row r="1068">
          <cell r="Q1068">
            <v>7.1428571428571425E-2</v>
          </cell>
          <cell r="R1068">
            <v>0.99940828402366866</v>
          </cell>
          <cell r="S1068">
            <v>0</v>
          </cell>
          <cell r="T1068">
            <v>0</v>
          </cell>
          <cell r="U1068">
            <v>0.75</v>
          </cell>
          <cell r="V1068">
            <v>0</v>
          </cell>
        </row>
        <row r="1069">
          <cell r="Q1069">
            <v>6.8571428571428575E-2</v>
          </cell>
          <cell r="R1069">
            <v>0.99940828402366866</v>
          </cell>
          <cell r="S1069">
            <v>0</v>
          </cell>
          <cell r="T1069">
            <v>1.5607218338481547E-2</v>
          </cell>
          <cell r="U1069">
            <v>0.75</v>
          </cell>
          <cell r="V1069">
            <v>0</v>
          </cell>
        </row>
        <row r="1070">
          <cell r="Q1070">
            <v>0.32</v>
          </cell>
          <cell r="R1070">
            <v>0.99940828402366866</v>
          </cell>
          <cell r="S1070">
            <v>0</v>
          </cell>
          <cell r="T1070">
            <v>0</v>
          </cell>
          <cell r="U1070">
            <v>0.25</v>
          </cell>
          <cell r="V1070">
            <v>0</v>
          </cell>
        </row>
        <row r="1071">
          <cell r="Q1071">
            <v>0.19428571428571428</v>
          </cell>
          <cell r="R1071">
            <v>0.99940828402366866</v>
          </cell>
          <cell r="S1071">
            <v>0</v>
          </cell>
          <cell r="T1071">
            <v>0</v>
          </cell>
          <cell r="U1071">
            <v>0.5</v>
          </cell>
          <cell r="V1071">
            <v>0</v>
          </cell>
        </row>
        <row r="1072">
          <cell r="Q1072">
            <v>0.19428571428571428</v>
          </cell>
          <cell r="R1072">
            <v>0.99940828402366866</v>
          </cell>
          <cell r="S1072">
            <v>0</v>
          </cell>
          <cell r="T1072">
            <v>0</v>
          </cell>
          <cell r="U1072">
            <v>0.5</v>
          </cell>
          <cell r="V1072">
            <v>0</v>
          </cell>
        </row>
        <row r="1073">
          <cell r="Q1073">
            <v>0.19428571428571428</v>
          </cell>
          <cell r="R1073">
            <v>0.99940828402366866</v>
          </cell>
          <cell r="S1073">
            <v>0</v>
          </cell>
          <cell r="T1073">
            <v>0</v>
          </cell>
          <cell r="U1073">
            <v>0.5</v>
          </cell>
          <cell r="V1073">
            <v>0</v>
          </cell>
        </row>
        <row r="1074">
          <cell r="Q1074">
            <v>0.19428571428571428</v>
          </cell>
          <cell r="R1074">
            <v>0.99940828402366866</v>
          </cell>
          <cell r="S1074">
            <v>0</v>
          </cell>
          <cell r="T1074">
            <v>0</v>
          </cell>
          <cell r="U1074">
            <v>0.5</v>
          </cell>
          <cell r="V1074">
            <v>0</v>
          </cell>
        </row>
        <row r="1075">
          <cell r="Q1075">
            <v>0.19428571428571428</v>
          </cell>
          <cell r="R1075">
            <v>0.99940828402366866</v>
          </cell>
          <cell r="S1075">
            <v>0</v>
          </cell>
          <cell r="T1075">
            <v>0</v>
          </cell>
          <cell r="U1075">
            <v>0.5</v>
          </cell>
          <cell r="V1075">
            <v>0</v>
          </cell>
        </row>
        <row r="1076">
          <cell r="Q1076">
            <v>0.19428571428571428</v>
          </cell>
          <cell r="R1076">
            <v>0.99940828402366866</v>
          </cell>
          <cell r="S1076">
            <v>0</v>
          </cell>
          <cell r="T1076">
            <v>0</v>
          </cell>
          <cell r="U1076">
            <v>0.5</v>
          </cell>
          <cell r="V1076">
            <v>0</v>
          </cell>
        </row>
        <row r="1077">
          <cell r="Q1077">
            <v>0.19428571428571428</v>
          </cell>
          <cell r="R1077">
            <v>0.99940828402366866</v>
          </cell>
          <cell r="S1077">
            <v>0</v>
          </cell>
          <cell r="T1077">
            <v>0</v>
          </cell>
          <cell r="U1077">
            <v>0.5</v>
          </cell>
          <cell r="V1077">
            <v>0</v>
          </cell>
        </row>
        <row r="1078">
          <cell r="Q1078">
            <v>0.19428571428571428</v>
          </cell>
          <cell r="R1078">
            <v>0.99940828402366866</v>
          </cell>
          <cell r="S1078">
            <v>0</v>
          </cell>
          <cell r="T1078">
            <v>0</v>
          </cell>
          <cell r="U1078">
            <v>0.5</v>
          </cell>
          <cell r="V1078">
            <v>0</v>
          </cell>
        </row>
        <row r="1079">
          <cell r="Q1079">
            <v>6.5714285714285711E-2</v>
          </cell>
          <cell r="R1079">
            <v>0.99940828402366866</v>
          </cell>
          <cell r="S1079">
            <v>0</v>
          </cell>
          <cell r="T1079">
            <v>2.0818025961302965E-2</v>
          </cell>
          <cell r="U1079">
            <v>0.75</v>
          </cell>
          <cell r="V1079">
            <v>0</v>
          </cell>
        </row>
        <row r="1080">
          <cell r="Q1080">
            <v>6.8571428571428575E-2</v>
          </cell>
          <cell r="R1080">
            <v>0.99940828402366866</v>
          </cell>
          <cell r="S1080">
            <v>0</v>
          </cell>
          <cell r="T1080">
            <v>0</v>
          </cell>
          <cell r="U1080">
            <v>0.75</v>
          </cell>
          <cell r="V1080">
            <v>0</v>
          </cell>
        </row>
        <row r="1081">
          <cell r="Q1081">
            <v>6.8571428571428575E-2</v>
          </cell>
          <cell r="R1081">
            <v>0.99940828402366866</v>
          </cell>
          <cell r="S1081">
            <v>0</v>
          </cell>
          <cell r="T1081">
            <v>0</v>
          </cell>
          <cell r="U1081">
            <v>0.75</v>
          </cell>
          <cell r="V1081">
            <v>0</v>
          </cell>
        </row>
        <row r="1082">
          <cell r="Q1082">
            <v>6.8571428571428575E-2</v>
          </cell>
          <cell r="R1082">
            <v>0.99940828402366866</v>
          </cell>
          <cell r="S1082">
            <v>0</v>
          </cell>
          <cell r="T1082">
            <v>0</v>
          </cell>
          <cell r="U1082">
            <v>0.75</v>
          </cell>
          <cell r="V1082">
            <v>0</v>
          </cell>
        </row>
        <row r="1083">
          <cell r="Q1083">
            <v>6.8571428571428575E-2</v>
          </cell>
          <cell r="R1083">
            <v>0.99940828402366866</v>
          </cell>
          <cell r="S1083">
            <v>0</v>
          </cell>
          <cell r="T1083">
            <v>0</v>
          </cell>
          <cell r="U1083">
            <v>0.75</v>
          </cell>
          <cell r="V1083">
            <v>0</v>
          </cell>
        </row>
        <row r="1084">
          <cell r="Q1084">
            <v>0.16857142857142857</v>
          </cell>
          <cell r="R1084">
            <v>0.99940828402366866</v>
          </cell>
          <cell r="S1084">
            <v>0</v>
          </cell>
          <cell r="T1084">
            <v>0</v>
          </cell>
          <cell r="U1084">
            <v>0.5</v>
          </cell>
          <cell r="V1084">
            <v>4.9900859220092533E-2</v>
          </cell>
        </row>
        <row r="1085">
          <cell r="Q1085">
            <v>0.15142857142857144</v>
          </cell>
          <cell r="R1085">
            <v>0.99940828402366866</v>
          </cell>
          <cell r="S1085">
            <v>1</v>
          </cell>
          <cell r="T1085">
            <v>0</v>
          </cell>
          <cell r="U1085">
            <v>0.25</v>
          </cell>
          <cell r="V1085">
            <v>0</v>
          </cell>
        </row>
        <row r="1086">
          <cell r="Q1086">
            <v>0.11714285714285715</v>
          </cell>
          <cell r="R1086">
            <v>0.99940828402366866</v>
          </cell>
          <cell r="S1086">
            <v>0</v>
          </cell>
          <cell r="T1086">
            <v>0.45126993502658003</v>
          </cell>
          <cell r="U1086">
            <v>0.5</v>
          </cell>
          <cell r="V1086">
            <v>0</v>
          </cell>
        </row>
        <row r="1087">
          <cell r="Q1087">
            <v>0.19142857142857142</v>
          </cell>
          <cell r="R1087">
            <v>0.99940828402366866</v>
          </cell>
          <cell r="S1087">
            <v>0</v>
          </cell>
          <cell r="T1087">
            <v>0</v>
          </cell>
          <cell r="U1087">
            <v>0.5</v>
          </cell>
          <cell r="V1087">
            <v>0</v>
          </cell>
        </row>
        <row r="1088">
          <cell r="Q1088">
            <v>0.06</v>
          </cell>
          <cell r="R1088">
            <v>0.99940828402366866</v>
          </cell>
          <cell r="S1088">
            <v>0</v>
          </cell>
          <cell r="T1088">
            <v>0</v>
          </cell>
          <cell r="U1088">
            <v>0.75</v>
          </cell>
          <cell r="V1088">
            <v>1.160631383472609E-2</v>
          </cell>
        </row>
        <row r="1089">
          <cell r="Q1089">
            <v>6.5714285714285711E-2</v>
          </cell>
          <cell r="R1089">
            <v>0.99940828402366866</v>
          </cell>
          <cell r="S1089">
            <v>0</v>
          </cell>
          <cell r="T1089">
            <v>0</v>
          </cell>
          <cell r="U1089">
            <v>0.75</v>
          </cell>
          <cell r="V1089">
            <v>0</v>
          </cell>
        </row>
        <row r="1090">
          <cell r="Q1090">
            <v>6.5714285714285711E-2</v>
          </cell>
          <cell r="R1090">
            <v>0.99940828402366866</v>
          </cell>
          <cell r="S1090">
            <v>0</v>
          </cell>
          <cell r="T1090">
            <v>0</v>
          </cell>
          <cell r="U1090">
            <v>0.75</v>
          </cell>
          <cell r="V1090">
            <v>0</v>
          </cell>
        </row>
        <row r="1091">
          <cell r="Q1091">
            <v>6.5714285714285711E-2</v>
          </cell>
          <cell r="R1091">
            <v>0.99940828402366866</v>
          </cell>
          <cell r="S1091">
            <v>0</v>
          </cell>
          <cell r="T1091">
            <v>0</v>
          </cell>
          <cell r="U1091">
            <v>0.75</v>
          </cell>
          <cell r="V1091">
            <v>0</v>
          </cell>
        </row>
        <row r="1092">
          <cell r="Q1092">
            <v>6.5714285714285711E-2</v>
          </cell>
          <cell r="R1092">
            <v>0.99940828402366866</v>
          </cell>
          <cell r="S1092">
            <v>0</v>
          </cell>
          <cell r="T1092">
            <v>0</v>
          </cell>
          <cell r="U1092">
            <v>0.75</v>
          </cell>
          <cell r="V1092">
            <v>0</v>
          </cell>
        </row>
        <row r="1093">
          <cell r="Q1093">
            <v>0.14857142857142858</v>
          </cell>
          <cell r="R1093">
            <v>0.99940828402366866</v>
          </cell>
          <cell r="S1093">
            <v>1</v>
          </cell>
          <cell r="T1093">
            <v>0</v>
          </cell>
          <cell r="U1093">
            <v>0.25</v>
          </cell>
          <cell r="V1093">
            <v>0</v>
          </cell>
        </row>
        <row r="1094">
          <cell r="Q1094">
            <v>8.8571428571428565E-2</v>
          </cell>
          <cell r="R1094">
            <v>0.99940828402366866</v>
          </cell>
          <cell r="S1094">
            <v>0</v>
          </cell>
          <cell r="T1094">
            <v>0</v>
          </cell>
          <cell r="U1094">
            <v>0.5</v>
          </cell>
          <cell r="V1094">
            <v>0.2015101000196117</v>
          </cell>
        </row>
        <row r="1095">
          <cell r="Q1095">
            <v>0.31428571428571428</v>
          </cell>
          <cell r="R1095">
            <v>0.99940828402366866</v>
          </cell>
          <cell r="S1095">
            <v>0</v>
          </cell>
          <cell r="T1095">
            <v>0</v>
          </cell>
          <cell r="U1095">
            <v>0.25</v>
          </cell>
          <cell r="V1095">
            <v>0</v>
          </cell>
        </row>
        <row r="1096">
          <cell r="Q1096">
            <v>0.18285714285714286</v>
          </cell>
          <cell r="R1096">
            <v>0.99940828402366866</v>
          </cell>
          <cell r="S1096">
            <v>0</v>
          </cell>
          <cell r="T1096">
            <v>0</v>
          </cell>
          <cell r="U1096">
            <v>0.5</v>
          </cell>
          <cell r="V1096">
            <v>1.2612107623318386E-2</v>
          </cell>
        </row>
        <row r="1097">
          <cell r="Q1097">
            <v>0.18857142857142858</v>
          </cell>
          <cell r="R1097">
            <v>0.99940828402366866</v>
          </cell>
          <cell r="S1097">
            <v>0</v>
          </cell>
          <cell r="T1097">
            <v>0</v>
          </cell>
          <cell r="U1097">
            <v>0.5</v>
          </cell>
          <cell r="V1097">
            <v>0</v>
          </cell>
        </row>
        <row r="1098">
          <cell r="Q1098">
            <v>0.18857142857142858</v>
          </cell>
          <cell r="R1098">
            <v>0.99940828402366866</v>
          </cell>
          <cell r="S1098">
            <v>0</v>
          </cell>
          <cell r="T1098">
            <v>0</v>
          </cell>
          <cell r="U1098">
            <v>0.5</v>
          </cell>
          <cell r="V1098">
            <v>0</v>
          </cell>
        </row>
        <row r="1099">
          <cell r="Q1099">
            <v>0.18857142857142858</v>
          </cell>
          <cell r="R1099">
            <v>0.99940828402366866</v>
          </cell>
          <cell r="S1099">
            <v>0</v>
          </cell>
          <cell r="T1099">
            <v>0</v>
          </cell>
          <cell r="U1099">
            <v>0.5</v>
          </cell>
          <cell r="V1099">
            <v>0</v>
          </cell>
        </row>
        <row r="1100">
          <cell r="Q1100">
            <v>6.2857142857142861E-2</v>
          </cell>
          <cell r="R1100">
            <v>0.99940828402366866</v>
          </cell>
          <cell r="S1100">
            <v>0</v>
          </cell>
          <cell r="T1100">
            <v>4.1515308770108976E-3</v>
          </cell>
          <cell r="U1100">
            <v>0.75</v>
          </cell>
          <cell r="V1100">
            <v>0</v>
          </cell>
        </row>
        <row r="1101">
          <cell r="Q1101">
            <v>0.14285714285714285</v>
          </cell>
          <cell r="R1101">
            <v>0.99940828402366866</v>
          </cell>
          <cell r="S1101">
            <v>0</v>
          </cell>
          <cell r="T1101">
            <v>0</v>
          </cell>
          <cell r="U1101">
            <v>0.5</v>
          </cell>
          <cell r="V1101">
            <v>9.0715048025613657E-2</v>
          </cell>
        </row>
        <row r="1102">
          <cell r="Q1102">
            <v>6.2857142857142861E-2</v>
          </cell>
          <cell r="R1102">
            <v>0.99940828402366866</v>
          </cell>
          <cell r="S1102">
            <v>0</v>
          </cell>
          <cell r="T1102">
            <v>0</v>
          </cell>
          <cell r="U1102">
            <v>0.75</v>
          </cell>
          <cell r="V1102">
            <v>0</v>
          </cell>
        </row>
        <row r="1103">
          <cell r="Q1103">
            <v>6.2857142857142861E-2</v>
          </cell>
          <cell r="R1103">
            <v>0.99940828402366866</v>
          </cell>
          <cell r="S1103">
            <v>0</v>
          </cell>
          <cell r="T1103">
            <v>0</v>
          </cell>
          <cell r="U1103">
            <v>0.75</v>
          </cell>
          <cell r="V1103">
            <v>0</v>
          </cell>
        </row>
        <row r="1104">
          <cell r="Q1104">
            <v>6.2857142857142861E-2</v>
          </cell>
          <cell r="R1104">
            <v>0.99940828402366866</v>
          </cell>
          <cell r="S1104">
            <v>0</v>
          </cell>
          <cell r="T1104">
            <v>0</v>
          </cell>
          <cell r="U1104">
            <v>0.75</v>
          </cell>
          <cell r="V1104">
            <v>0</v>
          </cell>
        </row>
        <row r="1105">
          <cell r="Q1105">
            <v>0.14571428571428571</v>
          </cell>
          <cell r="R1105">
            <v>0.99940828402366866</v>
          </cell>
          <cell r="S1105">
            <v>0</v>
          </cell>
          <cell r="T1105">
            <v>1</v>
          </cell>
          <cell r="U1105">
            <v>0.25</v>
          </cell>
          <cell r="V1105">
            <v>0</v>
          </cell>
        </row>
        <row r="1106">
          <cell r="Q1106">
            <v>0.31142857142857144</v>
          </cell>
          <cell r="R1106">
            <v>0.99940828402366866</v>
          </cell>
          <cell r="S1106">
            <v>0</v>
          </cell>
          <cell r="T1106">
            <v>0</v>
          </cell>
          <cell r="U1106">
            <v>0.25</v>
          </cell>
          <cell r="V1106">
            <v>0</v>
          </cell>
        </row>
        <row r="1107">
          <cell r="Q1107">
            <v>0.13714285714285715</v>
          </cell>
          <cell r="R1107">
            <v>0.99940828402366866</v>
          </cell>
          <cell r="S1107">
            <v>0</v>
          </cell>
          <cell r="T1107">
            <v>0</v>
          </cell>
          <cell r="U1107">
            <v>0.5</v>
          </cell>
          <cell r="V1107">
            <v>9.8076923076923075E-2</v>
          </cell>
        </row>
        <row r="1108">
          <cell r="Q1108">
            <v>4.8571428571428571E-2</v>
          </cell>
          <cell r="R1108">
            <v>0.99940828402366866</v>
          </cell>
          <cell r="S1108">
            <v>0</v>
          </cell>
          <cell r="T1108">
            <v>0</v>
          </cell>
          <cell r="U1108">
            <v>0.75</v>
          </cell>
          <cell r="V1108">
            <v>2.5012840267077556E-2</v>
          </cell>
        </row>
        <row r="1109">
          <cell r="Q1109">
            <v>0.18571428571428572</v>
          </cell>
          <cell r="R1109">
            <v>0.99940828402366866</v>
          </cell>
          <cell r="S1109">
            <v>0</v>
          </cell>
          <cell r="T1109">
            <v>0</v>
          </cell>
          <cell r="U1109">
            <v>0.5</v>
          </cell>
          <cell r="V1109">
            <v>0</v>
          </cell>
        </row>
        <row r="1110">
          <cell r="Q1110">
            <v>0.18</v>
          </cell>
          <cell r="R1110">
            <v>0.99940828402366866</v>
          </cell>
          <cell r="S1110">
            <v>0</v>
          </cell>
          <cell r="T1110">
            <v>3.1012287887653599E-2</v>
          </cell>
          <cell r="U1110">
            <v>0.5</v>
          </cell>
          <cell r="V1110">
            <v>0</v>
          </cell>
        </row>
        <row r="1111">
          <cell r="Q1111">
            <v>0.06</v>
          </cell>
          <cell r="R1111">
            <v>0.99940828402366866</v>
          </cell>
          <cell r="S1111">
            <v>0</v>
          </cell>
          <cell r="T1111">
            <v>0</v>
          </cell>
          <cell r="U1111">
            <v>0.75</v>
          </cell>
          <cell r="V1111">
            <v>0</v>
          </cell>
        </row>
        <row r="1112">
          <cell r="Q1112">
            <v>0.06</v>
          </cell>
          <cell r="R1112">
            <v>0.99940828402366866</v>
          </cell>
          <cell r="S1112">
            <v>0</v>
          </cell>
          <cell r="T1112">
            <v>0</v>
          </cell>
          <cell r="U1112">
            <v>0.75</v>
          </cell>
          <cell r="V1112">
            <v>0</v>
          </cell>
        </row>
        <row r="1113">
          <cell r="Q1113">
            <v>0.06</v>
          </cell>
          <cell r="R1113">
            <v>0.99940828402366866</v>
          </cell>
          <cell r="S1113">
            <v>0</v>
          </cell>
          <cell r="T1113">
            <v>0</v>
          </cell>
          <cell r="U1113">
            <v>0.75</v>
          </cell>
          <cell r="V1113">
            <v>0</v>
          </cell>
        </row>
        <row r="1114">
          <cell r="Q1114">
            <v>0.06</v>
          </cell>
          <cell r="R1114">
            <v>0.99940828402366866</v>
          </cell>
          <cell r="S1114">
            <v>0</v>
          </cell>
          <cell r="T1114">
            <v>0</v>
          </cell>
          <cell r="U1114">
            <v>0.75</v>
          </cell>
          <cell r="V1114">
            <v>0</v>
          </cell>
        </row>
        <row r="1115">
          <cell r="Q1115">
            <v>0.06</v>
          </cell>
          <cell r="R1115">
            <v>0.99940828402366866</v>
          </cell>
          <cell r="S1115">
            <v>0</v>
          </cell>
          <cell r="T1115">
            <v>0</v>
          </cell>
          <cell r="U1115">
            <v>0.75</v>
          </cell>
          <cell r="V1115">
            <v>0</v>
          </cell>
        </row>
        <row r="1116">
          <cell r="Q1116">
            <v>0.14571428571428571</v>
          </cell>
          <cell r="R1116">
            <v>0.99940828402366866</v>
          </cell>
          <cell r="S1116">
            <v>0</v>
          </cell>
          <cell r="T1116">
            <v>0</v>
          </cell>
          <cell r="U1116">
            <v>0.5</v>
          </cell>
          <cell r="V1116">
            <v>7.7448071216617217E-2</v>
          </cell>
        </row>
        <row r="1117">
          <cell r="Q1117">
            <v>0.18285714285714286</v>
          </cell>
          <cell r="R1117">
            <v>0.99940828402366866</v>
          </cell>
          <cell r="S1117">
            <v>0</v>
          </cell>
          <cell r="T1117">
            <v>8.1005586592178772E-3</v>
          </cell>
          <cell r="U1117">
            <v>0.5</v>
          </cell>
          <cell r="V1117">
            <v>0</v>
          </cell>
        </row>
        <row r="1118">
          <cell r="Q1118">
            <v>0.27142857142857141</v>
          </cell>
          <cell r="R1118">
            <v>0.99940828402366866</v>
          </cell>
          <cell r="S1118">
            <v>0</v>
          </cell>
          <cell r="T1118">
            <v>0.22317659047896346</v>
          </cell>
          <cell r="U1118">
            <v>0.25</v>
          </cell>
          <cell r="V1118">
            <v>0</v>
          </cell>
        </row>
        <row r="1119">
          <cell r="Q1119">
            <v>0.17714285714285713</v>
          </cell>
          <cell r="R1119">
            <v>0.99940828402366866</v>
          </cell>
          <cell r="S1119">
            <v>0</v>
          </cell>
          <cell r="T1119">
            <v>3.4634760705289674E-2</v>
          </cell>
          <cell r="U1119">
            <v>0.5</v>
          </cell>
          <cell r="V1119">
            <v>0</v>
          </cell>
        </row>
        <row r="1120">
          <cell r="Q1120">
            <v>0.18285714285714286</v>
          </cell>
          <cell r="R1120">
            <v>0.99940828402366866</v>
          </cell>
          <cell r="S1120">
            <v>0</v>
          </cell>
          <cell r="T1120">
            <v>0</v>
          </cell>
          <cell r="U1120">
            <v>0</v>
          </cell>
          <cell r="V1120">
            <v>0.5</v>
          </cell>
        </row>
        <row r="1121">
          <cell r="Q1121">
            <v>0.18285714285714286</v>
          </cell>
          <cell r="R1121">
            <v>0.99940828402366866</v>
          </cell>
          <cell r="S1121">
            <v>0</v>
          </cell>
          <cell r="T1121">
            <v>0</v>
          </cell>
          <cell r="U1121">
            <v>0.5</v>
          </cell>
          <cell r="V1121">
            <v>0</v>
          </cell>
        </row>
        <row r="1122">
          <cell r="Q1122">
            <v>0.18285714285714286</v>
          </cell>
          <cell r="R1122">
            <v>0.99940828402366866</v>
          </cell>
          <cell r="S1122">
            <v>0</v>
          </cell>
          <cell r="T1122">
            <v>0</v>
          </cell>
          <cell r="U1122">
            <v>0.5</v>
          </cell>
          <cell r="V1122">
            <v>0</v>
          </cell>
        </row>
        <row r="1123">
          <cell r="Q1123">
            <v>0.18285714285714286</v>
          </cell>
          <cell r="R1123">
            <v>0.99940828402366866</v>
          </cell>
          <cell r="S1123">
            <v>0</v>
          </cell>
          <cell r="T1123">
            <v>0</v>
          </cell>
          <cell r="U1123">
            <v>0.5</v>
          </cell>
          <cell r="V1123">
            <v>0</v>
          </cell>
        </row>
        <row r="1124">
          <cell r="Q1124">
            <v>0.13714285714285715</v>
          </cell>
          <cell r="R1124">
            <v>0.99940828402366866</v>
          </cell>
          <cell r="S1124">
            <v>0</v>
          </cell>
          <cell r="T1124">
            <v>0</v>
          </cell>
          <cell r="U1124">
            <v>0.5</v>
          </cell>
          <cell r="V1124">
            <v>0.09</v>
          </cell>
        </row>
        <row r="1125">
          <cell r="Q1125">
            <v>5.7142857142857141E-2</v>
          </cell>
          <cell r="R1125">
            <v>0.99940828402366866</v>
          </cell>
          <cell r="S1125">
            <v>0</v>
          </cell>
          <cell r="T1125">
            <v>0</v>
          </cell>
          <cell r="U1125">
            <v>0.75</v>
          </cell>
          <cell r="V1125">
            <v>0</v>
          </cell>
        </row>
        <row r="1126">
          <cell r="Q1126">
            <v>5.1428571428571428E-2</v>
          </cell>
          <cell r="R1126">
            <v>0.99940828402366866</v>
          </cell>
          <cell r="S1126">
            <v>0</v>
          </cell>
          <cell r="T1126">
            <v>2.6024955436720142E-2</v>
          </cell>
          <cell r="U1126">
            <v>0.75</v>
          </cell>
          <cell r="V1126">
            <v>0</v>
          </cell>
        </row>
        <row r="1127">
          <cell r="Q1127">
            <v>0.30571428571428572</v>
          </cell>
          <cell r="R1127">
            <v>0.99940828402366866</v>
          </cell>
          <cell r="S1127">
            <v>0</v>
          </cell>
          <cell r="T1127">
            <v>0</v>
          </cell>
          <cell r="U1127">
            <v>0.25</v>
          </cell>
          <cell r="V1127">
            <v>0</v>
          </cell>
        </row>
        <row r="1128">
          <cell r="Q1128">
            <v>0.18</v>
          </cell>
          <cell r="R1128">
            <v>0.99940828402366866</v>
          </cell>
          <cell r="S1128">
            <v>0</v>
          </cell>
          <cell r="T1128">
            <v>0</v>
          </cell>
          <cell r="U1128">
            <v>0.5</v>
          </cell>
          <cell r="V1128">
            <v>0</v>
          </cell>
        </row>
        <row r="1129">
          <cell r="Q1129">
            <v>0.18</v>
          </cell>
          <cell r="R1129">
            <v>0.99940828402366866</v>
          </cell>
          <cell r="S1129">
            <v>0</v>
          </cell>
          <cell r="T1129">
            <v>0</v>
          </cell>
          <cell r="U1129">
            <v>0.5</v>
          </cell>
          <cell r="V1129">
            <v>0</v>
          </cell>
        </row>
        <row r="1130">
          <cell r="Q1130">
            <v>0.18</v>
          </cell>
          <cell r="R1130">
            <v>0.99940828402366866</v>
          </cell>
          <cell r="S1130">
            <v>0</v>
          </cell>
          <cell r="T1130">
            <v>0</v>
          </cell>
          <cell r="U1130">
            <v>0.5</v>
          </cell>
          <cell r="V1130">
            <v>0</v>
          </cell>
        </row>
        <row r="1131">
          <cell r="Q1131">
            <v>0.18</v>
          </cell>
          <cell r="R1131">
            <v>0.99940828402366866</v>
          </cell>
          <cell r="S1131">
            <v>0</v>
          </cell>
          <cell r="T1131">
            <v>0</v>
          </cell>
          <cell r="U1131">
            <v>0.5</v>
          </cell>
          <cell r="V1131">
            <v>0</v>
          </cell>
        </row>
        <row r="1132">
          <cell r="Q1132">
            <v>0.18</v>
          </cell>
          <cell r="R1132">
            <v>0.99940828402366866</v>
          </cell>
          <cell r="S1132">
            <v>0</v>
          </cell>
          <cell r="T1132">
            <v>0</v>
          </cell>
          <cell r="U1132">
            <v>0.5</v>
          </cell>
          <cell r="V1132">
            <v>0</v>
          </cell>
        </row>
        <row r="1133">
          <cell r="Q1133">
            <v>4.2857142857142858E-2</v>
          </cell>
          <cell r="R1133">
            <v>0.99940828402366866</v>
          </cell>
          <cell r="S1133">
            <v>0</v>
          </cell>
          <cell r="T1133">
            <v>0</v>
          </cell>
          <cell r="U1133">
            <v>0.75</v>
          </cell>
          <cell r="V1133">
            <v>2.4045261669024046E-2</v>
          </cell>
        </row>
        <row r="1134">
          <cell r="Q1134">
            <v>5.4285714285714284E-2</v>
          </cell>
          <cell r="R1134">
            <v>0.99940828402366866</v>
          </cell>
          <cell r="S1134">
            <v>0</v>
          </cell>
          <cell r="T1134">
            <v>0</v>
          </cell>
          <cell r="U1134">
            <v>0.75</v>
          </cell>
          <cell r="V1134">
            <v>0</v>
          </cell>
        </row>
        <row r="1135">
          <cell r="Q1135">
            <v>5.4285714285714284E-2</v>
          </cell>
          <cell r="R1135">
            <v>0.99940828402366866</v>
          </cell>
          <cell r="S1135">
            <v>0</v>
          </cell>
          <cell r="T1135">
            <v>0</v>
          </cell>
          <cell r="U1135">
            <v>0.75</v>
          </cell>
          <cell r="V1135">
            <v>0</v>
          </cell>
        </row>
        <row r="1136">
          <cell r="Q1136">
            <v>5.4285714285714284E-2</v>
          </cell>
          <cell r="R1136">
            <v>0.99940828402366866</v>
          </cell>
          <cell r="S1136">
            <v>0</v>
          </cell>
          <cell r="T1136">
            <v>0</v>
          </cell>
          <cell r="U1136">
            <v>0.75</v>
          </cell>
          <cell r="V1136">
            <v>0</v>
          </cell>
        </row>
        <row r="1137">
          <cell r="Q1137">
            <v>5.4285714285714284E-2</v>
          </cell>
          <cell r="R1137">
            <v>0.99940828402366866</v>
          </cell>
          <cell r="S1137">
            <v>0</v>
          </cell>
          <cell r="T1137">
            <v>0</v>
          </cell>
          <cell r="U1137">
            <v>0.75</v>
          </cell>
          <cell r="V1137">
            <v>0</v>
          </cell>
        </row>
        <row r="1138">
          <cell r="Q1138">
            <v>5.4285714285714284E-2</v>
          </cell>
          <cell r="R1138">
            <v>0.99940828402366866</v>
          </cell>
          <cell r="S1138">
            <v>0</v>
          </cell>
          <cell r="T1138">
            <v>0</v>
          </cell>
          <cell r="U1138">
            <v>0.75</v>
          </cell>
          <cell r="V1138">
            <v>0</v>
          </cell>
        </row>
        <row r="1139">
          <cell r="Q1139">
            <v>5.4285714285714284E-2</v>
          </cell>
          <cell r="R1139">
            <v>0.99940828402366866</v>
          </cell>
          <cell r="S1139">
            <v>0</v>
          </cell>
          <cell r="T1139">
            <v>0</v>
          </cell>
          <cell r="U1139">
            <v>0.75</v>
          </cell>
          <cell r="V1139">
            <v>0</v>
          </cell>
        </row>
        <row r="1140">
          <cell r="Q1140">
            <v>8.2857142857142851E-2</v>
          </cell>
          <cell r="R1140">
            <v>0.99940828402366866</v>
          </cell>
          <cell r="S1140">
            <v>0</v>
          </cell>
          <cell r="T1140">
            <v>0.57406639004149373</v>
          </cell>
          <cell r="U1140">
            <v>0.5</v>
          </cell>
          <cell r="V1140">
            <v>0</v>
          </cell>
        </row>
        <row r="1141">
          <cell r="Q1141">
            <v>0.17714285714285713</v>
          </cell>
          <cell r="R1141">
            <v>0.99940828402366866</v>
          </cell>
          <cell r="S1141">
            <v>0</v>
          </cell>
          <cell r="T1141">
            <v>2.2071307300509336E-3</v>
          </cell>
          <cell r="U1141">
            <v>0.5</v>
          </cell>
          <cell r="V1141">
            <v>0</v>
          </cell>
        </row>
        <row r="1142">
          <cell r="Q1142">
            <v>0.17714285714285713</v>
          </cell>
          <cell r="R1142">
            <v>0.99940828402366866</v>
          </cell>
          <cell r="S1142">
            <v>0</v>
          </cell>
          <cell r="T1142">
            <v>0</v>
          </cell>
          <cell r="U1142">
            <v>0.5</v>
          </cell>
          <cell r="V1142">
            <v>0</v>
          </cell>
        </row>
        <row r="1143">
          <cell r="Q1143">
            <v>0.17714285714285713</v>
          </cell>
          <cell r="R1143">
            <v>0.99940828402366866</v>
          </cell>
          <cell r="S1143">
            <v>0</v>
          </cell>
          <cell r="T1143">
            <v>0</v>
          </cell>
          <cell r="U1143">
            <v>0.5</v>
          </cell>
          <cell r="V1143">
            <v>0</v>
          </cell>
        </row>
        <row r="1144">
          <cell r="Q1144">
            <v>0.17714285714285713</v>
          </cell>
          <cell r="R1144">
            <v>0.99940828402366866</v>
          </cell>
          <cell r="S1144">
            <v>0</v>
          </cell>
          <cell r="T1144">
            <v>0</v>
          </cell>
          <cell r="U1144">
            <v>0.5</v>
          </cell>
          <cell r="V1144">
            <v>0</v>
          </cell>
        </row>
        <row r="1145">
          <cell r="Q1145">
            <v>0.17714285714285713</v>
          </cell>
          <cell r="R1145">
            <v>0.99940828402366866</v>
          </cell>
          <cell r="S1145">
            <v>0</v>
          </cell>
          <cell r="T1145">
            <v>0</v>
          </cell>
          <cell r="U1145">
            <v>0.5</v>
          </cell>
          <cell r="V1145">
            <v>0</v>
          </cell>
        </row>
        <row r="1146">
          <cell r="Q1146">
            <v>0.17714285714285713</v>
          </cell>
          <cell r="R1146">
            <v>0.99940828402366866</v>
          </cell>
          <cell r="S1146">
            <v>0</v>
          </cell>
          <cell r="T1146">
            <v>0</v>
          </cell>
          <cell r="U1146">
            <v>0.5</v>
          </cell>
          <cell r="V1146">
            <v>0</v>
          </cell>
        </row>
        <row r="1147">
          <cell r="Q1147">
            <v>0.19142857142857142</v>
          </cell>
          <cell r="R1147">
            <v>0.99940828402366866</v>
          </cell>
          <cell r="S1147">
            <v>0</v>
          </cell>
          <cell r="T1147">
            <v>0.66009852216748766</v>
          </cell>
          <cell r="U1147">
            <v>0.25</v>
          </cell>
          <cell r="V1147">
            <v>0</v>
          </cell>
        </row>
        <row r="1148">
          <cell r="Q1148">
            <v>5.1428571428571428E-2</v>
          </cell>
          <cell r="R1148">
            <v>0.99940828402366866</v>
          </cell>
          <cell r="S1148">
            <v>0</v>
          </cell>
          <cell r="T1148">
            <v>0</v>
          </cell>
          <cell r="U1148">
            <v>0.75</v>
          </cell>
          <cell r="V1148">
            <v>0</v>
          </cell>
        </row>
        <row r="1149">
          <cell r="Q1149">
            <v>5.1428571428571428E-2</v>
          </cell>
          <cell r="R1149">
            <v>0.99940828402366866</v>
          </cell>
          <cell r="S1149">
            <v>0</v>
          </cell>
          <cell r="T1149">
            <v>0</v>
          </cell>
          <cell r="U1149">
            <v>0.75</v>
          </cell>
          <cell r="V1149">
            <v>0</v>
          </cell>
        </row>
        <row r="1150">
          <cell r="Q1150">
            <v>0.3</v>
          </cell>
          <cell r="R1150">
            <v>0.99940828402366866</v>
          </cell>
          <cell r="S1150">
            <v>0</v>
          </cell>
          <cell r="T1150">
            <v>0</v>
          </cell>
          <cell r="U1150">
            <v>0.25</v>
          </cell>
          <cell r="V1150">
            <v>0</v>
          </cell>
        </row>
        <row r="1151">
          <cell r="Q1151">
            <v>0.17428571428571429</v>
          </cell>
          <cell r="R1151">
            <v>0.99940828402366866</v>
          </cell>
          <cell r="S1151">
            <v>0</v>
          </cell>
          <cell r="T1151">
            <v>0</v>
          </cell>
          <cell r="U1151">
            <v>0.5</v>
          </cell>
          <cell r="V1151">
            <v>0</v>
          </cell>
        </row>
        <row r="1152">
          <cell r="Q1152">
            <v>3.7142857142857144E-2</v>
          </cell>
          <cell r="R1152">
            <v>0.99940828402366866</v>
          </cell>
          <cell r="S1152">
            <v>0</v>
          </cell>
          <cell r="T1152">
            <v>0</v>
          </cell>
          <cell r="U1152">
            <v>0.75</v>
          </cell>
          <cell r="V1152">
            <v>2.3606115107913668E-2</v>
          </cell>
        </row>
        <row r="1153">
          <cell r="Q1153">
            <v>0.2857142857142857</v>
          </cell>
          <cell r="R1153">
            <v>0.99940828402366866</v>
          </cell>
          <cell r="S1153">
            <v>0</v>
          </cell>
          <cell r="T1153">
            <v>7.7471636952998385E-2</v>
          </cell>
          <cell r="U1153">
            <v>0.25</v>
          </cell>
          <cell r="V1153">
            <v>0</v>
          </cell>
        </row>
        <row r="1154">
          <cell r="Q1154">
            <v>4.8571428571428571E-2</v>
          </cell>
          <cell r="R1154">
            <v>0.99940828402366866</v>
          </cell>
          <cell r="S1154">
            <v>0</v>
          </cell>
          <cell r="T1154">
            <v>0</v>
          </cell>
          <cell r="U1154">
            <v>0.75</v>
          </cell>
          <cell r="V1154">
            <v>0</v>
          </cell>
        </row>
        <row r="1155">
          <cell r="Q1155">
            <v>4.8571428571428571E-2</v>
          </cell>
          <cell r="R1155">
            <v>0.99940828402366866</v>
          </cell>
          <cell r="S1155">
            <v>0</v>
          </cell>
          <cell r="T1155">
            <v>0</v>
          </cell>
          <cell r="U1155">
            <v>0.75</v>
          </cell>
          <cell r="V1155">
            <v>0</v>
          </cell>
        </row>
        <row r="1156">
          <cell r="Q1156">
            <v>4.8571428571428571E-2</v>
          </cell>
          <cell r="R1156">
            <v>0.99940828402366866</v>
          </cell>
          <cell r="S1156">
            <v>0</v>
          </cell>
          <cell r="T1156">
            <v>0</v>
          </cell>
          <cell r="U1156">
            <v>0.75</v>
          </cell>
          <cell r="V1156">
            <v>0</v>
          </cell>
        </row>
        <row r="1157">
          <cell r="Q1157">
            <v>4.8571428571428571E-2</v>
          </cell>
          <cell r="R1157">
            <v>0.99940828402366866</v>
          </cell>
          <cell r="S1157">
            <v>0</v>
          </cell>
          <cell r="T1157">
            <v>0</v>
          </cell>
          <cell r="U1157">
            <v>0.75</v>
          </cell>
          <cell r="V1157">
            <v>0</v>
          </cell>
        </row>
        <row r="1158">
          <cell r="Q1158">
            <v>4.8571428571428571E-2</v>
          </cell>
          <cell r="R1158">
            <v>0.99940828402366866</v>
          </cell>
          <cell r="S1158">
            <v>0</v>
          </cell>
          <cell r="T1158">
            <v>0</v>
          </cell>
          <cell r="U1158">
            <v>0.75</v>
          </cell>
          <cell r="V1158">
            <v>0</v>
          </cell>
        </row>
        <row r="1159">
          <cell r="Q1159">
            <v>4.8571428571428571E-2</v>
          </cell>
          <cell r="R1159">
            <v>0.99940828402366866</v>
          </cell>
          <cell r="S1159">
            <v>0</v>
          </cell>
          <cell r="T1159">
            <v>0</v>
          </cell>
          <cell r="U1159">
            <v>0.75</v>
          </cell>
          <cell r="V1159">
            <v>0</v>
          </cell>
        </row>
        <row r="1160">
          <cell r="Q1160">
            <v>4.8571428571428571E-2</v>
          </cell>
          <cell r="R1160">
            <v>0.99940828402366866</v>
          </cell>
          <cell r="S1160">
            <v>0</v>
          </cell>
          <cell r="T1160">
            <v>0</v>
          </cell>
          <cell r="U1160">
            <v>0.75</v>
          </cell>
          <cell r="V1160">
            <v>0</v>
          </cell>
        </row>
        <row r="1161">
          <cell r="Q1161">
            <v>4.8571428571428571E-2</v>
          </cell>
          <cell r="R1161">
            <v>0.99940828402366866</v>
          </cell>
          <cell r="S1161">
            <v>0</v>
          </cell>
          <cell r="T1161">
            <v>0</v>
          </cell>
          <cell r="U1161">
            <v>0.75</v>
          </cell>
          <cell r="V1161">
            <v>0</v>
          </cell>
        </row>
        <row r="1162">
          <cell r="Q1162">
            <v>4.8571428571428571E-2</v>
          </cell>
          <cell r="R1162">
            <v>0.99940828402366866</v>
          </cell>
          <cell r="S1162">
            <v>0</v>
          </cell>
          <cell r="T1162">
            <v>0</v>
          </cell>
          <cell r="U1162">
            <v>0.75</v>
          </cell>
          <cell r="V1162">
            <v>0</v>
          </cell>
        </row>
        <row r="1163">
          <cell r="Q1163">
            <v>4.8571428571428571E-2</v>
          </cell>
          <cell r="R1163">
            <v>0.99940828402366866</v>
          </cell>
          <cell r="S1163">
            <v>0</v>
          </cell>
          <cell r="T1163">
            <v>0</v>
          </cell>
          <cell r="U1163">
            <v>0.75</v>
          </cell>
          <cell r="V1163">
            <v>0</v>
          </cell>
        </row>
        <row r="1164">
          <cell r="Q1164">
            <v>4.5714285714285714E-2</v>
          </cell>
          <cell r="R1164">
            <v>0.99940828402366866</v>
          </cell>
          <cell r="S1164">
            <v>0</v>
          </cell>
          <cell r="T1164">
            <v>9.5911949685534587E-3</v>
          </cell>
          <cell r="U1164">
            <v>0.75</v>
          </cell>
          <cell r="V1164">
            <v>0</v>
          </cell>
        </row>
        <row r="1165">
          <cell r="Q1165">
            <v>0.15142857142857144</v>
          </cell>
          <cell r="R1165">
            <v>0.99940828402366866</v>
          </cell>
          <cell r="S1165">
            <v>0</v>
          </cell>
          <cell r="T1165">
            <v>0</v>
          </cell>
          <cell r="U1165">
            <v>0.5</v>
          </cell>
          <cell r="V1165">
            <v>4.0266106442577033E-2</v>
          </cell>
        </row>
        <row r="1166">
          <cell r="Q1166">
            <v>0.17142857142857143</v>
          </cell>
          <cell r="R1166">
            <v>0.99940828402366866</v>
          </cell>
          <cell r="S1166">
            <v>0</v>
          </cell>
          <cell r="T1166">
            <v>0</v>
          </cell>
          <cell r="U1166">
            <v>0.5</v>
          </cell>
          <cell r="V1166">
            <v>0</v>
          </cell>
        </row>
        <row r="1167">
          <cell r="Q1167">
            <v>0.17142857142857143</v>
          </cell>
          <cell r="R1167">
            <v>0.99940828402366866</v>
          </cell>
          <cell r="S1167">
            <v>0</v>
          </cell>
          <cell r="T1167">
            <v>0</v>
          </cell>
          <cell r="U1167">
            <v>0.5</v>
          </cell>
          <cell r="V1167">
            <v>0</v>
          </cell>
        </row>
        <row r="1168">
          <cell r="Q1168">
            <v>0.17142857142857143</v>
          </cell>
          <cell r="R1168">
            <v>0.99940828402366866</v>
          </cell>
          <cell r="S1168">
            <v>0</v>
          </cell>
          <cell r="T1168">
            <v>0</v>
          </cell>
          <cell r="U1168">
            <v>0.5</v>
          </cell>
          <cell r="V1168">
            <v>0</v>
          </cell>
        </row>
        <row r="1169">
          <cell r="Q1169">
            <v>0.17142857142857143</v>
          </cell>
          <cell r="R1169">
            <v>0.99940828402366866</v>
          </cell>
          <cell r="S1169">
            <v>0</v>
          </cell>
          <cell r="T1169">
            <v>0</v>
          </cell>
          <cell r="U1169">
            <v>0.5</v>
          </cell>
          <cell r="V1169">
            <v>0</v>
          </cell>
        </row>
        <row r="1170">
          <cell r="Q1170">
            <v>0.17142857142857143</v>
          </cell>
          <cell r="R1170">
            <v>0.99940828402366866</v>
          </cell>
          <cell r="S1170">
            <v>0</v>
          </cell>
          <cell r="T1170">
            <v>0</v>
          </cell>
          <cell r="U1170">
            <v>0.5</v>
          </cell>
          <cell r="V1170">
            <v>0</v>
          </cell>
        </row>
        <row r="1171">
          <cell r="Q1171">
            <v>0.25428571428571428</v>
          </cell>
          <cell r="R1171">
            <v>0.99940828402366866</v>
          </cell>
          <cell r="S1171">
            <v>0</v>
          </cell>
          <cell r="T1171">
            <v>1</v>
          </cell>
          <cell r="U1171">
            <v>0</v>
          </cell>
          <cell r="V1171">
            <v>0</v>
          </cell>
        </row>
        <row r="1172">
          <cell r="Q1172">
            <v>0.25428571428571428</v>
          </cell>
          <cell r="R1172">
            <v>0.99940828402366866</v>
          </cell>
          <cell r="S1172">
            <v>0</v>
          </cell>
          <cell r="T1172">
            <v>1</v>
          </cell>
          <cell r="U1172">
            <v>0</v>
          </cell>
          <cell r="V1172">
            <v>0</v>
          </cell>
        </row>
        <row r="1173">
          <cell r="Q1173">
            <v>0.25428571428571428</v>
          </cell>
          <cell r="R1173">
            <v>0.99940828402366866</v>
          </cell>
          <cell r="S1173">
            <v>0</v>
          </cell>
          <cell r="T1173">
            <v>1</v>
          </cell>
          <cell r="U1173">
            <v>0</v>
          </cell>
          <cell r="V1173">
            <v>0</v>
          </cell>
        </row>
        <row r="1174">
          <cell r="Q1174">
            <v>0.12285714285714286</v>
          </cell>
          <cell r="R1174">
            <v>0.99940828402366866</v>
          </cell>
          <cell r="S1174">
            <v>0</v>
          </cell>
          <cell r="T1174">
            <v>0.28812752795622176</v>
          </cell>
          <cell r="U1174">
            <v>0.5</v>
          </cell>
          <cell r="V1174">
            <v>0</v>
          </cell>
        </row>
        <row r="1175">
          <cell r="Q1175">
            <v>4.5714285714285714E-2</v>
          </cell>
          <cell r="R1175">
            <v>0.99940828402366866</v>
          </cell>
          <cell r="S1175">
            <v>0</v>
          </cell>
          <cell r="T1175">
            <v>0</v>
          </cell>
          <cell r="U1175">
            <v>0.75</v>
          </cell>
          <cell r="V1175">
            <v>0</v>
          </cell>
        </row>
        <row r="1176">
          <cell r="Q1176">
            <v>4.5714285714285714E-2</v>
          </cell>
          <cell r="R1176">
            <v>0.99940828402366866</v>
          </cell>
          <cell r="S1176">
            <v>0</v>
          </cell>
          <cell r="T1176">
            <v>0</v>
          </cell>
          <cell r="U1176">
            <v>0.75</v>
          </cell>
          <cell r="V1176">
            <v>0</v>
          </cell>
        </row>
        <row r="1177">
          <cell r="Q1177">
            <v>0.12857142857142856</v>
          </cell>
          <cell r="R1177">
            <v>0.99940828402366866</v>
          </cell>
          <cell r="S1177">
            <v>0</v>
          </cell>
          <cell r="T1177">
            <v>1</v>
          </cell>
          <cell r="U1177">
            <v>0.25</v>
          </cell>
          <cell r="V1177">
            <v>0</v>
          </cell>
        </row>
        <row r="1178">
          <cell r="Q1178">
            <v>0.08</v>
          </cell>
          <cell r="R1178">
            <v>0.99940828402366866</v>
          </cell>
          <cell r="S1178">
            <v>0</v>
          </cell>
          <cell r="T1178">
            <v>0</v>
          </cell>
          <cell r="U1178">
            <v>0.5</v>
          </cell>
          <cell r="V1178">
            <v>0.17832167832167833</v>
          </cell>
        </row>
        <row r="1179">
          <cell r="Q1179">
            <v>0.18857142857142858</v>
          </cell>
          <cell r="R1179">
            <v>0.99940828402366866</v>
          </cell>
          <cell r="S1179">
            <v>0</v>
          </cell>
          <cell r="T1179">
            <v>0</v>
          </cell>
          <cell r="U1179">
            <v>0.25</v>
          </cell>
          <cell r="V1179">
            <v>0.2109038737446198</v>
          </cell>
        </row>
        <row r="1180">
          <cell r="Q1180">
            <v>0.16857142857142857</v>
          </cell>
          <cell r="R1180">
            <v>0.99940828402366866</v>
          </cell>
          <cell r="S1180">
            <v>0</v>
          </cell>
          <cell r="T1180">
            <v>0</v>
          </cell>
          <cell r="U1180">
            <v>0.5</v>
          </cell>
          <cell r="V1180">
            <v>0</v>
          </cell>
        </row>
        <row r="1181">
          <cell r="Q1181">
            <v>0.16857142857142857</v>
          </cell>
          <cell r="R1181">
            <v>0.99940828402366866</v>
          </cell>
          <cell r="S1181">
            <v>0</v>
          </cell>
          <cell r="T1181">
            <v>0</v>
          </cell>
          <cell r="U1181">
            <v>0.5</v>
          </cell>
          <cell r="V1181">
            <v>0</v>
          </cell>
        </row>
        <row r="1182">
          <cell r="Q1182">
            <v>0.16857142857142857</v>
          </cell>
          <cell r="R1182">
            <v>0.99940828402366866</v>
          </cell>
          <cell r="S1182">
            <v>0</v>
          </cell>
          <cell r="T1182">
            <v>0</v>
          </cell>
          <cell r="U1182">
            <v>0.5</v>
          </cell>
          <cell r="V1182">
            <v>0</v>
          </cell>
        </row>
        <row r="1183">
          <cell r="Q1183">
            <v>0.16857142857142857</v>
          </cell>
          <cell r="R1183">
            <v>0.99940828402366866</v>
          </cell>
          <cell r="S1183">
            <v>0</v>
          </cell>
          <cell r="T1183">
            <v>0</v>
          </cell>
          <cell r="U1183">
            <v>0.5</v>
          </cell>
          <cell r="V1183">
            <v>0</v>
          </cell>
        </row>
        <row r="1184">
          <cell r="Q1184">
            <v>0.16857142857142857</v>
          </cell>
          <cell r="R1184">
            <v>0.99940828402366866</v>
          </cell>
          <cell r="S1184">
            <v>0</v>
          </cell>
          <cell r="T1184">
            <v>0</v>
          </cell>
          <cell r="U1184">
            <v>0.5</v>
          </cell>
          <cell r="V1184">
            <v>0</v>
          </cell>
        </row>
        <row r="1185">
          <cell r="Q1185">
            <v>0.16857142857142857</v>
          </cell>
          <cell r="R1185">
            <v>0.99940828402366866</v>
          </cell>
          <cell r="S1185">
            <v>0</v>
          </cell>
          <cell r="T1185">
            <v>0</v>
          </cell>
          <cell r="U1185">
            <v>0.5</v>
          </cell>
          <cell r="V1185">
            <v>0</v>
          </cell>
        </row>
        <row r="1186">
          <cell r="Q1186">
            <v>4.2857142857142858E-2</v>
          </cell>
          <cell r="R1186">
            <v>0.99940828402366866</v>
          </cell>
          <cell r="S1186">
            <v>0</v>
          </cell>
          <cell r="T1186">
            <v>0</v>
          </cell>
          <cell r="U1186">
            <v>0.75</v>
          </cell>
          <cell r="V1186">
            <v>0</v>
          </cell>
        </row>
        <row r="1187">
          <cell r="Q1187">
            <v>4.2857142857142858E-2</v>
          </cell>
          <cell r="R1187">
            <v>0.99940828402366866</v>
          </cell>
          <cell r="S1187">
            <v>0</v>
          </cell>
          <cell r="T1187">
            <v>0</v>
          </cell>
          <cell r="U1187">
            <v>0.75</v>
          </cell>
          <cell r="V1187">
            <v>0</v>
          </cell>
        </row>
        <row r="1188">
          <cell r="Q1188">
            <v>4.2857142857142858E-2</v>
          </cell>
          <cell r="R1188">
            <v>0.99940828402366866</v>
          </cell>
          <cell r="S1188">
            <v>0</v>
          </cell>
          <cell r="T1188">
            <v>0</v>
          </cell>
          <cell r="U1188">
            <v>0.75</v>
          </cell>
          <cell r="V1188">
            <v>0</v>
          </cell>
        </row>
        <row r="1189">
          <cell r="Q1189">
            <v>4.2857142857142858E-2</v>
          </cell>
          <cell r="R1189">
            <v>0.99940828402366866</v>
          </cell>
          <cell r="S1189">
            <v>0</v>
          </cell>
          <cell r="T1189">
            <v>0</v>
          </cell>
          <cell r="U1189">
            <v>0.75</v>
          </cell>
          <cell r="V1189">
            <v>0</v>
          </cell>
        </row>
        <row r="1190">
          <cell r="Q1190">
            <v>4.2857142857142858E-2</v>
          </cell>
          <cell r="R1190">
            <v>0.99940828402366866</v>
          </cell>
          <cell r="S1190">
            <v>0</v>
          </cell>
          <cell r="T1190">
            <v>0</v>
          </cell>
          <cell r="U1190">
            <v>0.75</v>
          </cell>
          <cell r="V1190">
            <v>0</v>
          </cell>
        </row>
        <row r="1191">
          <cell r="Q1191">
            <v>4.2857142857142858E-2</v>
          </cell>
          <cell r="R1191">
            <v>0.99940828402366866</v>
          </cell>
          <cell r="S1191">
            <v>0</v>
          </cell>
          <cell r="T1191">
            <v>0</v>
          </cell>
          <cell r="U1191">
            <v>0.75</v>
          </cell>
          <cell r="V1191">
            <v>0</v>
          </cell>
        </row>
        <row r="1192">
          <cell r="Q1192">
            <v>4.2857142857142858E-2</v>
          </cell>
          <cell r="R1192">
            <v>0.99940828402366866</v>
          </cell>
          <cell r="S1192">
            <v>0</v>
          </cell>
          <cell r="T1192">
            <v>0</v>
          </cell>
          <cell r="U1192">
            <v>0.75</v>
          </cell>
          <cell r="V1192">
            <v>0</v>
          </cell>
        </row>
        <row r="1193">
          <cell r="Q1193">
            <v>4.2857142857142858E-2</v>
          </cell>
          <cell r="R1193">
            <v>0.99940828402366866</v>
          </cell>
          <cell r="S1193">
            <v>0</v>
          </cell>
          <cell r="T1193">
            <v>0</v>
          </cell>
          <cell r="U1193">
            <v>0.75</v>
          </cell>
          <cell r="V1193">
            <v>0</v>
          </cell>
        </row>
        <row r="1194">
          <cell r="Q1194">
            <v>4.2857142857142858E-2</v>
          </cell>
          <cell r="R1194">
            <v>0.99940828402366866</v>
          </cell>
          <cell r="S1194">
            <v>0</v>
          </cell>
          <cell r="T1194">
            <v>0</v>
          </cell>
          <cell r="U1194">
            <v>0.75</v>
          </cell>
          <cell r="V1194">
            <v>0</v>
          </cell>
        </row>
        <row r="1195">
          <cell r="Q1195">
            <v>4.2857142857142858E-2</v>
          </cell>
          <cell r="R1195">
            <v>0.99940828402366866</v>
          </cell>
          <cell r="S1195">
            <v>0</v>
          </cell>
          <cell r="T1195">
            <v>0</v>
          </cell>
          <cell r="U1195">
            <v>0.75</v>
          </cell>
          <cell r="V1195">
            <v>0</v>
          </cell>
        </row>
        <row r="1196">
          <cell r="Q1196">
            <v>4.2857142857142858E-2</v>
          </cell>
          <cell r="R1196">
            <v>0.99940828402366866</v>
          </cell>
          <cell r="S1196">
            <v>0</v>
          </cell>
          <cell r="T1196">
            <v>0</v>
          </cell>
          <cell r="U1196">
            <v>0</v>
          </cell>
          <cell r="V1196">
            <v>0.74601805149986722</v>
          </cell>
        </row>
        <row r="1197">
          <cell r="Q1197">
            <v>0.1657142857142857</v>
          </cell>
          <cell r="R1197">
            <v>0.99940828402366866</v>
          </cell>
          <cell r="S1197">
            <v>0</v>
          </cell>
          <cell r="T1197">
            <v>0</v>
          </cell>
          <cell r="U1197">
            <v>0.5</v>
          </cell>
          <cell r="V1197">
            <v>0</v>
          </cell>
        </row>
        <row r="1198">
          <cell r="Q1198">
            <v>0.1657142857142857</v>
          </cell>
          <cell r="R1198">
            <v>0.99940828402366866</v>
          </cell>
          <cell r="S1198">
            <v>0</v>
          </cell>
          <cell r="T1198">
            <v>0</v>
          </cell>
          <cell r="U1198">
            <v>0.5</v>
          </cell>
          <cell r="V1198">
            <v>0</v>
          </cell>
        </row>
        <row r="1199">
          <cell r="Q1199">
            <v>0.1657142857142857</v>
          </cell>
          <cell r="R1199">
            <v>0.99940828402366866</v>
          </cell>
          <cell r="S1199">
            <v>0</v>
          </cell>
          <cell r="T1199">
            <v>0</v>
          </cell>
          <cell r="U1199">
            <v>0.5</v>
          </cell>
          <cell r="V1199">
            <v>0</v>
          </cell>
        </row>
        <row r="1200">
          <cell r="Q1200">
            <v>0.1657142857142857</v>
          </cell>
          <cell r="R1200">
            <v>0.99940828402366866</v>
          </cell>
          <cell r="S1200">
            <v>0</v>
          </cell>
          <cell r="T1200">
            <v>0</v>
          </cell>
          <cell r="U1200">
            <v>0.5</v>
          </cell>
          <cell r="V1200">
            <v>0</v>
          </cell>
        </row>
        <row r="1201">
          <cell r="Q1201">
            <v>0.1657142857142857</v>
          </cell>
          <cell r="R1201">
            <v>0.99940828402366866</v>
          </cell>
          <cell r="S1201">
            <v>0</v>
          </cell>
          <cell r="T1201">
            <v>0</v>
          </cell>
          <cell r="U1201">
            <v>0.5</v>
          </cell>
          <cell r="V1201">
            <v>0</v>
          </cell>
        </row>
        <row r="1202">
          <cell r="Q1202">
            <v>0.15714285714285714</v>
          </cell>
          <cell r="R1202">
            <v>0.99940828402366866</v>
          </cell>
          <cell r="S1202">
            <v>0</v>
          </cell>
          <cell r="T1202">
            <v>0</v>
          </cell>
          <cell r="U1202">
            <v>0.5</v>
          </cell>
          <cell r="V1202">
            <v>1.6963528413910092E-2</v>
          </cell>
        </row>
        <row r="1203">
          <cell r="Q1203">
            <v>0.04</v>
          </cell>
          <cell r="R1203">
            <v>0.99940828402366866</v>
          </cell>
          <cell r="S1203">
            <v>0</v>
          </cell>
          <cell r="T1203">
            <v>0</v>
          </cell>
          <cell r="U1203">
            <v>0.75</v>
          </cell>
          <cell r="V1203">
            <v>0</v>
          </cell>
        </row>
        <row r="1204">
          <cell r="Q1204">
            <v>0.04</v>
          </cell>
          <cell r="R1204">
            <v>0.99940828402366866</v>
          </cell>
          <cell r="S1204">
            <v>0</v>
          </cell>
          <cell r="T1204">
            <v>0</v>
          </cell>
          <cell r="U1204">
            <v>0.75</v>
          </cell>
          <cell r="V1204">
            <v>0</v>
          </cell>
        </row>
        <row r="1205">
          <cell r="Q1205">
            <v>0.04</v>
          </cell>
          <cell r="R1205">
            <v>0.99940828402366866</v>
          </cell>
          <cell r="S1205">
            <v>0</v>
          </cell>
          <cell r="T1205">
            <v>0</v>
          </cell>
          <cell r="U1205">
            <v>0.75</v>
          </cell>
          <cell r="V1205">
            <v>0</v>
          </cell>
        </row>
        <row r="1206">
          <cell r="Q1206">
            <v>3.1428571428571431E-2</v>
          </cell>
          <cell r="R1206">
            <v>0.99940828402366866</v>
          </cell>
          <cell r="S1206">
            <v>0</v>
          </cell>
          <cell r="T1206">
            <v>0</v>
          </cell>
          <cell r="U1206">
            <v>0.75</v>
          </cell>
          <cell r="V1206">
            <v>1.6299285936044707E-2</v>
          </cell>
        </row>
        <row r="1207">
          <cell r="Q1207">
            <v>0.12285714285714286</v>
          </cell>
          <cell r="R1207">
            <v>0.99940828402366866</v>
          </cell>
          <cell r="S1207">
            <v>0</v>
          </cell>
          <cell r="T1207">
            <v>1</v>
          </cell>
          <cell r="U1207">
            <v>0.25</v>
          </cell>
          <cell r="V1207">
            <v>0</v>
          </cell>
        </row>
        <row r="1208">
          <cell r="Q1208">
            <v>0.1</v>
          </cell>
          <cell r="R1208">
            <v>0.99940828402366866</v>
          </cell>
          <cell r="S1208">
            <v>0</v>
          </cell>
          <cell r="T1208">
            <v>0.38670620212503087</v>
          </cell>
          <cell r="U1208">
            <v>0.5</v>
          </cell>
          <cell r="V1208">
            <v>0</v>
          </cell>
        </row>
        <row r="1209">
          <cell r="Q1209">
            <v>0.16285714285714287</v>
          </cell>
          <cell r="R1209">
            <v>0.99940828402366866</v>
          </cell>
          <cell r="S1209">
            <v>0</v>
          </cell>
          <cell r="T1209">
            <v>0</v>
          </cell>
          <cell r="U1209">
            <v>0.5</v>
          </cell>
          <cell r="V1209">
            <v>0</v>
          </cell>
        </row>
        <row r="1210">
          <cell r="Q1210">
            <v>0.2857142857142857</v>
          </cell>
          <cell r="R1210">
            <v>0.99940828402366866</v>
          </cell>
          <cell r="S1210">
            <v>0</v>
          </cell>
          <cell r="T1210">
            <v>1.2247397428046539E-2</v>
          </cell>
          <cell r="U1210">
            <v>0.25</v>
          </cell>
          <cell r="V1210">
            <v>0</v>
          </cell>
        </row>
        <row r="1211">
          <cell r="Q1211">
            <v>3.4285714285714287E-2</v>
          </cell>
          <cell r="R1211">
            <v>0.99940828402366866</v>
          </cell>
          <cell r="S1211">
            <v>0</v>
          </cell>
          <cell r="T1211">
            <v>2.0482240082966036E-2</v>
          </cell>
          <cell r="U1211">
            <v>0.75</v>
          </cell>
          <cell r="V1211">
            <v>0</v>
          </cell>
        </row>
        <row r="1212">
          <cell r="Q1212">
            <v>3.4285714285714287E-2</v>
          </cell>
          <cell r="R1212">
            <v>0.99940828402366866</v>
          </cell>
          <cell r="S1212">
            <v>0</v>
          </cell>
          <cell r="T1212">
            <v>0</v>
          </cell>
          <cell r="U1212">
            <v>0.75</v>
          </cell>
          <cell r="V1212">
            <v>6.5218852955019162E-3</v>
          </cell>
        </row>
        <row r="1213">
          <cell r="Q1213">
            <v>0.1</v>
          </cell>
          <cell r="R1213">
            <v>0.99940828402366866</v>
          </cell>
          <cell r="S1213">
            <v>0</v>
          </cell>
          <cell r="T1213">
            <v>0</v>
          </cell>
          <cell r="U1213">
            <v>0.5</v>
          </cell>
          <cell r="V1213">
            <v>0.125</v>
          </cell>
        </row>
        <row r="1214">
          <cell r="Q1214">
            <v>0.24571428571428572</v>
          </cell>
          <cell r="R1214">
            <v>0.99940828402366866</v>
          </cell>
          <cell r="S1214">
            <v>0</v>
          </cell>
          <cell r="T1214">
            <v>1</v>
          </cell>
          <cell r="U1214">
            <v>0</v>
          </cell>
          <cell r="V1214">
            <v>0</v>
          </cell>
        </row>
        <row r="1215">
          <cell r="Q1215">
            <v>3.7142857142857144E-2</v>
          </cell>
          <cell r="R1215">
            <v>0.99940828402366866</v>
          </cell>
          <cell r="S1215">
            <v>0</v>
          </cell>
          <cell r="T1215">
            <v>0</v>
          </cell>
          <cell r="U1215">
            <v>0.75</v>
          </cell>
          <cell r="V1215">
            <v>0</v>
          </cell>
        </row>
        <row r="1216">
          <cell r="Q1216">
            <v>3.7142857142857144E-2</v>
          </cell>
          <cell r="R1216">
            <v>0.99940828402366866</v>
          </cell>
          <cell r="S1216">
            <v>0</v>
          </cell>
          <cell r="T1216">
            <v>0</v>
          </cell>
          <cell r="U1216">
            <v>0.75</v>
          </cell>
          <cell r="V1216">
            <v>0</v>
          </cell>
        </row>
        <row r="1217">
          <cell r="Q1217">
            <v>3.7142857142857144E-2</v>
          </cell>
          <cell r="R1217">
            <v>0.99940828402366866</v>
          </cell>
          <cell r="S1217">
            <v>0</v>
          </cell>
          <cell r="T1217">
            <v>0</v>
          </cell>
          <cell r="U1217">
            <v>0.75</v>
          </cell>
          <cell r="V1217">
            <v>0</v>
          </cell>
        </row>
        <row r="1218">
          <cell r="Q1218">
            <v>3.7142857142857144E-2</v>
          </cell>
          <cell r="R1218">
            <v>0.99940828402366866</v>
          </cell>
          <cell r="S1218">
            <v>0</v>
          </cell>
          <cell r="T1218">
            <v>0</v>
          </cell>
          <cell r="U1218">
            <v>0.75</v>
          </cell>
          <cell r="V1218">
            <v>0</v>
          </cell>
        </row>
        <row r="1219">
          <cell r="Q1219">
            <v>0.28285714285714286</v>
          </cell>
          <cell r="R1219">
            <v>0.99940828402366866</v>
          </cell>
          <cell r="S1219">
            <v>0</v>
          </cell>
          <cell r="T1219">
            <v>0</v>
          </cell>
          <cell r="U1219">
            <v>0.25</v>
          </cell>
          <cell r="V1219">
            <v>8.5538321167883211E-3</v>
          </cell>
        </row>
        <row r="1220">
          <cell r="Q1220">
            <v>0.12</v>
          </cell>
          <cell r="R1220">
            <v>0.99940828402366866</v>
          </cell>
          <cell r="S1220">
            <v>0</v>
          </cell>
          <cell r="T1220">
            <v>1</v>
          </cell>
          <cell r="U1220">
            <v>0.25</v>
          </cell>
          <cell r="V1220">
            <v>0</v>
          </cell>
        </row>
        <row r="1221">
          <cell r="Q1221">
            <v>0.16</v>
          </cell>
          <cell r="R1221">
            <v>0.99940828402366866</v>
          </cell>
          <cell r="S1221">
            <v>0</v>
          </cell>
          <cell r="T1221">
            <v>0</v>
          </cell>
          <cell r="U1221">
            <v>0.5</v>
          </cell>
          <cell r="V1221">
            <v>0</v>
          </cell>
        </row>
        <row r="1222">
          <cell r="Q1222">
            <v>0.16</v>
          </cell>
          <cell r="R1222">
            <v>0.99940828402366866</v>
          </cell>
          <cell r="S1222">
            <v>0</v>
          </cell>
          <cell r="T1222">
            <v>0</v>
          </cell>
          <cell r="U1222">
            <v>0.5</v>
          </cell>
          <cell r="V1222">
            <v>0</v>
          </cell>
        </row>
        <row r="1223">
          <cell r="Q1223">
            <v>0.16</v>
          </cell>
          <cell r="R1223">
            <v>0.99940828402366866</v>
          </cell>
          <cell r="S1223">
            <v>0</v>
          </cell>
          <cell r="T1223">
            <v>0</v>
          </cell>
          <cell r="U1223">
            <v>0.5</v>
          </cell>
          <cell r="V1223">
            <v>0</v>
          </cell>
        </row>
        <row r="1224">
          <cell r="Q1224">
            <v>0.11714285714285715</v>
          </cell>
          <cell r="R1224">
            <v>0.99940828402366866</v>
          </cell>
          <cell r="S1224">
            <v>0</v>
          </cell>
          <cell r="T1224">
            <v>1</v>
          </cell>
          <cell r="U1224">
            <v>0.25</v>
          </cell>
          <cell r="V1224">
            <v>0</v>
          </cell>
        </row>
        <row r="1225">
          <cell r="Q1225">
            <v>0.15714285714285714</v>
          </cell>
          <cell r="R1225">
            <v>0.99940828402366866</v>
          </cell>
          <cell r="S1225">
            <v>0</v>
          </cell>
          <cell r="T1225">
            <v>0</v>
          </cell>
          <cell r="U1225">
            <v>0.5</v>
          </cell>
          <cell r="V1225">
            <v>0</v>
          </cell>
        </row>
        <row r="1226">
          <cell r="Q1226">
            <v>0.11428571428571428</v>
          </cell>
          <cell r="R1226">
            <v>0.99940828402366866</v>
          </cell>
          <cell r="S1226">
            <v>0</v>
          </cell>
          <cell r="T1226">
            <v>0.25415384615384617</v>
          </cell>
          <cell r="U1226">
            <v>0.5</v>
          </cell>
          <cell r="V1226">
            <v>0</v>
          </cell>
        </row>
        <row r="1227">
          <cell r="Q1227">
            <v>3.1428571428571431E-2</v>
          </cell>
          <cell r="R1227">
            <v>0.99940828402366866</v>
          </cell>
          <cell r="S1227">
            <v>0</v>
          </cell>
          <cell r="T1227">
            <v>0</v>
          </cell>
          <cell r="U1227">
            <v>0.75</v>
          </cell>
          <cell r="V1227">
            <v>0</v>
          </cell>
        </row>
        <row r="1228">
          <cell r="Q1228">
            <v>3.1428571428571431E-2</v>
          </cell>
          <cell r="R1228">
            <v>0.99940828402366866</v>
          </cell>
          <cell r="S1228">
            <v>0</v>
          </cell>
          <cell r="T1228">
            <v>0</v>
          </cell>
          <cell r="U1228">
            <v>0.75</v>
          </cell>
          <cell r="V1228">
            <v>0</v>
          </cell>
        </row>
        <row r="1229">
          <cell r="Q1229">
            <v>3.1428571428571431E-2</v>
          </cell>
          <cell r="R1229">
            <v>0.99940828402366866</v>
          </cell>
          <cell r="S1229">
            <v>0</v>
          </cell>
          <cell r="T1229">
            <v>0</v>
          </cell>
          <cell r="U1229">
            <v>0.75</v>
          </cell>
          <cell r="V1229">
            <v>0</v>
          </cell>
        </row>
        <row r="1230">
          <cell r="Q1230">
            <v>3.1428571428571431E-2</v>
          </cell>
          <cell r="R1230">
            <v>0.99940828402366866</v>
          </cell>
          <cell r="S1230">
            <v>0</v>
          </cell>
          <cell r="T1230">
            <v>0</v>
          </cell>
          <cell r="U1230">
            <v>0.75</v>
          </cell>
          <cell r="V1230">
            <v>0</v>
          </cell>
        </row>
        <row r="1231">
          <cell r="Q1231">
            <v>3.1428571428571431E-2</v>
          </cell>
          <cell r="R1231">
            <v>0.99940828402366866</v>
          </cell>
          <cell r="S1231">
            <v>0</v>
          </cell>
          <cell r="T1231">
            <v>0</v>
          </cell>
          <cell r="U1231">
            <v>0.75</v>
          </cell>
          <cell r="V1231">
            <v>0</v>
          </cell>
        </row>
        <row r="1232">
          <cell r="Q1232">
            <v>3.1428571428571431E-2</v>
          </cell>
          <cell r="R1232">
            <v>0.99940828402366866</v>
          </cell>
          <cell r="S1232">
            <v>0</v>
          </cell>
          <cell r="T1232">
            <v>0</v>
          </cell>
          <cell r="U1232">
            <v>0.75</v>
          </cell>
          <cell r="V1232">
            <v>0</v>
          </cell>
        </row>
        <row r="1233">
          <cell r="Q1233">
            <v>9.4285714285714292E-2</v>
          </cell>
          <cell r="R1233">
            <v>0.99940828402366866</v>
          </cell>
          <cell r="S1233">
            <v>0</v>
          </cell>
          <cell r="T1233">
            <v>0</v>
          </cell>
          <cell r="U1233">
            <v>0.5</v>
          </cell>
          <cell r="V1233">
            <v>0.12298282144716294</v>
          </cell>
        </row>
        <row r="1234">
          <cell r="Q1234">
            <v>0.15428571428571428</v>
          </cell>
          <cell r="R1234">
            <v>0.99940828402366866</v>
          </cell>
          <cell r="S1234">
            <v>0</v>
          </cell>
          <cell r="T1234">
            <v>0</v>
          </cell>
          <cell r="U1234">
            <v>0.5</v>
          </cell>
          <cell r="V1234">
            <v>0</v>
          </cell>
        </row>
        <row r="1235">
          <cell r="Q1235">
            <v>0.15428571428571428</v>
          </cell>
          <cell r="R1235">
            <v>0.99940828402366866</v>
          </cell>
          <cell r="S1235">
            <v>0</v>
          </cell>
          <cell r="T1235">
            <v>0</v>
          </cell>
          <cell r="U1235">
            <v>0.5</v>
          </cell>
          <cell r="V1235">
            <v>0</v>
          </cell>
        </row>
        <row r="1236">
          <cell r="Q1236">
            <v>2.5714285714285714E-2</v>
          </cell>
          <cell r="R1236">
            <v>0.99940828402366866</v>
          </cell>
          <cell r="S1236">
            <v>0</v>
          </cell>
          <cell r="T1236">
            <v>1.9913106444605359E-2</v>
          </cell>
          <cell r="U1236">
            <v>0.75</v>
          </cell>
          <cell r="V1236">
            <v>0</v>
          </cell>
        </row>
        <row r="1237">
          <cell r="Q1237">
            <v>2.8571428571428571E-2</v>
          </cell>
          <cell r="R1237">
            <v>0.99940828402366866</v>
          </cell>
          <cell r="S1237">
            <v>0</v>
          </cell>
          <cell r="T1237">
            <v>0</v>
          </cell>
          <cell r="U1237">
            <v>0.75</v>
          </cell>
          <cell r="V1237">
            <v>0</v>
          </cell>
        </row>
        <row r="1238">
          <cell r="Q1238">
            <v>2.8571428571428571E-2</v>
          </cell>
          <cell r="R1238">
            <v>0.99940828402366866</v>
          </cell>
          <cell r="S1238">
            <v>0</v>
          </cell>
          <cell r="T1238">
            <v>0</v>
          </cell>
          <cell r="U1238">
            <v>0.75</v>
          </cell>
          <cell r="V1238">
            <v>0</v>
          </cell>
        </row>
        <row r="1239">
          <cell r="Q1239">
            <v>2.8571428571428571E-2</v>
          </cell>
          <cell r="R1239">
            <v>0.99940828402366866</v>
          </cell>
          <cell r="S1239">
            <v>0</v>
          </cell>
          <cell r="T1239">
            <v>0</v>
          </cell>
          <cell r="U1239">
            <v>0</v>
          </cell>
          <cell r="V1239">
            <v>0.75</v>
          </cell>
        </row>
        <row r="1240">
          <cell r="Q1240">
            <v>2.8571428571428571E-2</v>
          </cell>
          <cell r="R1240">
            <v>0.99940828402366866</v>
          </cell>
          <cell r="S1240">
            <v>0</v>
          </cell>
          <cell r="T1240">
            <v>0</v>
          </cell>
          <cell r="U1240">
            <v>0</v>
          </cell>
          <cell r="V1240">
            <v>0.75</v>
          </cell>
        </row>
        <row r="1241">
          <cell r="Q1241">
            <v>2.8571428571428571E-2</v>
          </cell>
          <cell r="R1241">
            <v>0.99940828402366866</v>
          </cell>
          <cell r="S1241">
            <v>0</v>
          </cell>
          <cell r="T1241">
            <v>0</v>
          </cell>
          <cell r="U1241">
            <v>0</v>
          </cell>
          <cell r="V1241">
            <v>0.75</v>
          </cell>
        </row>
        <row r="1242">
          <cell r="Q1242">
            <v>2.8571428571428571E-2</v>
          </cell>
          <cell r="R1242">
            <v>0.99940828402366866</v>
          </cell>
          <cell r="S1242">
            <v>0</v>
          </cell>
          <cell r="T1242">
            <v>0</v>
          </cell>
          <cell r="U1242">
            <v>0.75</v>
          </cell>
          <cell r="V1242">
            <v>0</v>
          </cell>
        </row>
        <row r="1243">
          <cell r="Q1243">
            <v>0.21142857142857144</v>
          </cell>
          <cell r="R1243">
            <v>0.99940828402366866</v>
          </cell>
          <cell r="S1243">
            <v>0</v>
          </cell>
          <cell r="T1243">
            <v>0.39423076923076922</v>
          </cell>
          <cell r="U1243">
            <v>0.25</v>
          </cell>
          <cell r="V1243">
            <v>2.8466599190283401E-3</v>
          </cell>
        </row>
        <row r="1244">
          <cell r="Q1244">
            <v>4.5714285714285714E-2</v>
          </cell>
          <cell r="R1244">
            <v>0.99940828402366866</v>
          </cell>
          <cell r="S1244">
            <v>0</v>
          </cell>
          <cell r="T1244">
            <v>0</v>
          </cell>
          <cell r="U1244">
            <v>0.5</v>
          </cell>
          <cell r="V1244">
            <v>0.21347918136908964</v>
          </cell>
        </row>
        <row r="1245">
          <cell r="Q1245">
            <v>0.15142857142857144</v>
          </cell>
          <cell r="R1245">
            <v>0.99940828402366866</v>
          </cell>
          <cell r="S1245">
            <v>0</v>
          </cell>
          <cell r="T1245">
            <v>0</v>
          </cell>
          <cell r="U1245">
            <v>0.5</v>
          </cell>
          <cell r="V1245">
            <v>0</v>
          </cell>
        </row>
        <row r="1246">
          <cell r="Q1246">
            <v>0.14000000000000001</v>
          </cell>
          <cell r="R1246">
            <v>0.99940828402366866</v>
          </cell>
          <cell r="S1246">
            <v>0</v>
          </cell>
          <cell r="T1246">
            <v>6.4906140629971368E-2</v>
          </cell>
          <cell r="U1246">
            <v>0.5</v>
          </cell>
          <cell r="V1246">
            <v>0</v>
          </cell>
        </row>
        <row r="1247">
          <cell r="Q1247">
            <v>2.5714285714285714E-2</v>
          </cell>
          <cell r="R1247">
            <v>0.99940828402366866</v>
          </cell>
          <cell r="S1247">
            <v>0</v>
          </cell>
          <cell r="T1247">
            <v>0</v>
          </cell>
          <cell r="U1247">
            <v>0.75</v>
          </cell>
          <cell r="V1247">
            <v>0</v>
          </cell>
        </row>
        <row r="1248">
          <cell r="Q1248">
            <v>2.5714285714285714E-2</v>
          </cell>
          <cell r="R1248">
            <v>0.99940828402366866</v>
          </cell>
          <cell r="S1248">
            <v>0</v>
          </cell>
          <cell r="T1248">
            <v>0</v>
          </cell>
          <cell r="U1248">
            <v>0.75</v>
          </cell>
          <cell r="V1248">
            <v>0</v>
          </cell>
        </row>
        <row r="1249">
          <cell r="Q1249">
            <v>2.5714285714285714E-2</v>
          </cell>
          <cell r="R1249">
            <v>0.99940828402366866</v>
          </cell>
          <cell r="S1249">
            <v>0</v>
          </cell>
          <cell r="T1249">
            <v>0</v>
          </cell>
          <cell r="U1249">
            <v>0.75</v>
          </cell>
          <cell r="V1249">
            <v>0</v>
          </cell>
        </row>
        <row r="1250">
          <cell r="Q1250">
            <v>2.5714285714285714E-2</v>
          </cell>
          <cell r="R1250">
            <v>0.99940828402366866</v>
          </cell>
          <cell r="S1250">
            <v>0</v>
          </cell>
          <cell r="T1250">
            <v>0</v>
          </cell>
          <cell r="U1250">
            <v>0.75</v>
          </cell>
          <cell r="V1250">
            <v>0</v>
          </cell>
        </row>
        <row r="1251">
          <cell r="Q1251">
            <v>0.10285714285714286</v>
          </cell>
          <cell r="R1251">
            <v>0.99940828402366866</v>
          </cell>
          <cell r="S1251">
            <v>0</v>
          </cell>
          <cell r="T1251">
            <v>1</v>
          </cell>
          <cell r="U1251">
            <v>0.25</v>
          </cell>
          <cell r="V1251">
            <v>1.2193098871930989E-2</v>
          </cell>
        </row>
        <row r="1252">
          <cell r="Q1252">
            <v>0.10857142857142857</v>
          </cell>
          <cell r="R1252">
            <v>0.99940828402366866</v>
          </cell>
          <cell r="S1252">
            <v>1</v>
          </cell>
          <cell r="T1252">
            <v>0</v>
          </cell>
          <cell r="U1252">
            <v>0.25</v>
          </cell>
          <cell r="V1252">
            <v>0</v>
          </cell>
        </row>
        <row r="1253">
          <cell r="Q1253">
            <v>0.10857142857142857</v>
          </cell>
          <cell r="R1253">
            <v>0.99940828402366866</v>
          </cell>
          <cell r="S1253">
            <v>1</v>
          </cell>
          <cell r="T1253">
            <v>0</v>
          </cell>
          <cell r="U1253">
            <v>0.25</v>
          </cell>
          <cell r="V1253">
            <v>0</v>
          </cell>
        </row>
        <row r="1254">
          <cell r="Q1254">
            <v>2.2857142857142857E-2</v>
          </cell>
          <cell r="R1254">
            <v>0.99940828402366866</v>
          </cell>
          <cell r="S1254">
            <v>0</v>
          </cell>
          <cell r="T1254">
            <v>1.3253638253638254E-2</v>
          </cell>
          <cell r="U1254">
            <v>0.75</v>
          </cell>
          <cell r="V1254">
            <v>0</v>
          </cell>
        </row>
        <row r="1255">
          <cell r="Q1255">
            <v>0.14857142857142858</v>
          </cell>
          <cell r="R1255">
            <v>0.99940828402366866</v>
          </cell>
          <cell r="S1255">
            <v>0</v>
          </cell>
          <cell r="T1255">
            <v>0</v>
          </cell>
          <cell r="U1255">
            <v>0.5</v>
          </cell>
          <cell r="V1255">
            <v>0</v>
          </cell>
        </row>
        <row r="1256">
          <cell r="Q1256">
            <v>0.14857142857142858</v>
          </cell>
          <cell r="R1256">
            <v>0.99940828402366866</v>
          </cell>
          <cell r="S1256">
            <v>0</v>
          </cell>
          <cell r="T1256">
            <v>0</v>
          </cell>
          <cell r="U1256">
            <v>0.5</v>
          </cell>
          <cell r="V1256">
            <v>0</v>
          </cell>
        </row>
        <row r="1257">
          <cell r="Q1257">
            <v>0.14857142857142858</v>
          </cell>
          <cell r="R1257">
            <v>0.99940828402366866</v>
          </cell>
          <cell r="S1257">
            <v>0</v>
          </cell>
          <cell r="T1257">
            <v>0</v>
          </cell>
          <cell r="U1257">
            <v>0.5</v>
          </cell>
          <cell r="V1257">
            <v>0</v>
          </cell>
        </row>
        <row r="1258">
          <cell r="Q1258">
            <v>0.14857142857142858</v>
          </cell>
          <cell r="R1258">
            <v>0.99940828402366866</v>
          </cell>
          <cell r="S1258">
            <v>0</v>
          </cell>
          <cell r="T1258">
            <v>0</v>
          </cell>
          <cell r="U1258">
            <v>0.5</v>
          </cell>
          <cell r="V1258">
            <v>0</v>
          </cell>
        </row>
        <row r="1259">
          <cell r="Q1259">
            <v>2.2857142857142857E-2</v>
          </cell>
          <cell r="R1259">
            <v>0.99940828402366866</v>
          </cell>
          <cell r="S1259">
            <v>0</v>
          </cell>
          <cell r="T1259">
            <v>0</v>
          </cell>
          <cell r="U1259">
            <v>0.75</v>
          </cell>
          <cell r="V1259">
            <v>0</v>
          </cell>
        </row>
        <row r="1260">
          <cell r="Q1260">
            <v>0.11714285714285715</v>
          </cell>
          <cell r="R1260">
            <v>0.99940828402366866</v>
          </cell>
          <cell r="S1260">
            <v>0</v>
          </cell>
          <cell r="T1260">
            <v>0</v>
          </cell>
          <cell r="U1260">
            <v>0.5</v>
          </cell>
          <cell r="V1260">
            <v>5.9225512528473807E-2</v>
          </cell>
        </row>
        <row r="1261">
          <cell r="Q1261">
            <v>0.14571428571428571</v>
          </cell>
          <cell r="R1261">
            <v>0.99940828402366866</v>
          </cell>
          <cell r="S1261">
            <v>0</v>
          </cell>
          <cell r="T1261">
            <v>0</v>
          </cell>
          <cell r="U1261">
            <v>0.5</v>
          </cell>
          <cell r="V1261">
            <v>0</v>
          </cell>
        </row>
        <row r="1262">
          <cell r="Q1262">
            <v>0.14571428571428571</v>
          </cell>
          <cell r="R1262">
            <v>0.99940828402366866</v>
          </cell>
          <cell r="S1262">
            <v>0</v>
          </cell>
          <cell r="T1262">
            <v>0</v>
          </cell>
          <cell r="U1262">
            <v>0.5</v>
          </cell>
          <cell r="V1262">
            <v>0</v>
          </cell>
        </row>
        <row r="1263">
          <cell r="Q1263">
            <v>0.14571428571428571</v>
          </cell>
          <cell r="R1263">
            <v>0.99940828402366866</v>
          </cell>
          <cell r="S1263">
            <v>0</v>
          </cell>
          <cell r="T1263">
            <v>0</v>
          </cell>
          <cell r="U1263">
            <v>0.5</v>
          </cell>
          <cell r="V1263">
            <v>0</v>
          </cell>
        </row>
        <row r="1264">
          <cell r="Q1264">
            <v>0.14571428571428571</v>
          </cell>
          <cell r="R1264">
            <v>0.99940828402366866</v>
          </cell>
          <cell r="S1264">
            <v>0</v>
          </cell>
          <cell r="T1264">
            <v>0</v>
          </cell>
          <cell r="U1264">
            <v>0.5</v>
          </cell>
          <cell r="V1264">
            <v>0</v>
          </cell>
        </row>
        <row r="1265">
          <cell r="Q1265">
            <v>0.02</v>
          </cell>
          <cell r="R1265">
            <v>0.99940828402366866</v>
          </cell>
          <cell r="S1265">
            <v>0</v>
          </cell>
          <cell r="T1265">
            <v>0</v>
          </cell>
          <cell r="U1265">
            <v>0.75</v>
          </cell>
          <cell r="V1265">
            <v>0</v>
          </cell>
        </row>
        <row r="1266">
          <cell r="Q1266">
            <v>0.02</v>
          </cell>
          <cell r="R1266">
            <v>0.99940828402366866</v>
          </cell>
          <cell r="S1266">
            <v>0</v>
          </cell>
          <cell r="T1266">
            <v>0</v>
          </cell>
          <cell r="U1266">
            <v>0.75</v>
          </cell>
          <cell r="V1266">
            <v>0</v>
          </cell>
        </row>
        <row r="1267">
          <cell r="Q1267">
            <v>0.02</v>
          </cell>
          <cell r="R1267">
            <v>0.99940828402366866</v>
          </cell>
          <cell r="S1267">
            <v>0</v>
          </cell>
          <cell r="T1267">
            <v>0</v>
          </cell>
          <cell r="U1267">
            <v>0.75</v>
          </cell>
          <cell r="V1267">
            <v>0</v>
          </cell>
        </row>
        <row r="1268">
          <cell r="Q1268">
            <v>0.10285714285714286</v>
          </cell>
          <cell r="R1268">
            <v>0.99940828402366866</v>
          </cell>
          <cell r="S1268">
            <v>0</v>
          </cell>
          <cell r="T1268">
            <v>1</v>
          </cell>
          <cell r="U1268">
            <v>0.25</v>
          </cell>
          <cell r="V1268">
            <v>0</v>
          </cell>
        </row>
        <row r="1269">
          <cell r="Q1269">
            <v>0.12571428571428572</v>
          </cell>
          <cell r="R1269">
            <v>0.99940828402366866</v>
          </cell>
          <cell r="S1269">
            <v>0</v>
          </cell>
          <cell r="T1269">
            <v>0.11010558069381599</v>
          </cell>
          <cell r="U1269">
            <v>0.5</v>
          </cell>
          <cell r="V1269">
            <v>0</v>
          </cell>
        </row>
        <row r="1270">
          <cell r="Q1270">
            <v>0.14285714285714285</v>
          </cell>
          <cell r="R1270">
            <v>0.99940828402366866</v>
          </cell>
          <cell r="S1270">
            <v>0</v>
          </cell>
          <cell r="T1270">
            <v>0</v>
          </cell>
          <cell r="U1270">
            <v>0.5</v>
          </cell>
          <cell r="V1270">
            <v>0</v>
          </cell>
        </row>
        <row r="1271">
          <cell r="Q1271">
            <v>0.14285714285714285</v>
          </cell>
          <cell r="R1271">
            <v>0.99940828402366866</v>
          </cell>
          <cell r="S1271">
            <v>0</v>
          </cell>
          <cell r="T1271">
            <v>0</v>
          </cell>
          <cell r="U1271">
            <v>0.5</v>
          </cell>
          <cell r="V1271">
            <v>0</v>
          </cell>
        </row>
        <row r="1272">
          <cell r="Q1272">
            <v>0.14285714285714285</v>
          </cell>
          <cell r="R1272">
            <v>0.99940828402366866</v>
          </cell>
          <cell r="S1272">
            <v>0</v>
          </cell>
          <cell r="T1272">
            <v>0</v>
          </cell>
          <cell r="U1272">
            <v>0.5</v>
          </cell>
          <cell r="V1272">
            <v>0</v>
          </cell>
        </row>
        <row r="1273">
          <cell r="Q1273">
            <v>0.26571428571428574</v>
          </cell>
          <cell r="R1273">
            <v>0.99940828402366866</v>
          </cell>
          <cell r="S1273">
            <v>0</v>
          </cell>
          <cell r="T1273">
            <v>0</v>
          </cell>
          <cell r="U1273">
            <v>0.25</v>
          </cell>
          <cell r="V1273">
            <v>0</v>
          </cell>
        </row>
        <row r="1274">
          <cell r="Q1274">
            <v>0.26571428571428574</v>
          </cell>
          <cell r="R1274">
            <v>0.99940828402366866</v>
          </cell>
          <cell r="S1274">
            <v>0</v>
          </cell>
          <cell r="T1274">
            <v>0</v>
          </cell>
          <cell r="U1274">
            <v>0.25</v>
          </cell>
          <cell r="V1274">
            <v>0</v>
          </cell>
        </row>
        <row r="1275">
          <cell r="Q1275">
            <v>0.26571428571428574</v>
          </cell>
          <cell r="R1275">
            <v>0.99940828402366866</v>
          </cell>
          <cell r="S1275">
            <v>0</v>
          </cell>
          <cell r="T1275">
            <v>0</v>
          </cell>
          <cell r="U1275">
            <v>0.25</v>
          </cell>
          <cell r="V1275">
            <v>0</v>
          </cell>
        </row>
        <row r="1276">
          <cell r="Q1276">
            <v>0.14000000000000001</v>
          </cell>
          <cell r="R1276">
            <v>0.99940828402366866</v>
          </cell>
          <cell r="S1276">
            <v>0</v>
          </cell>
          <cell r="T1276">
            <v>0</v>
          </cell>
          <cell r="U1276">
            <v>0.5</v>
          </cell>
          <cell r="V1276">
            <v>0</v>
          </cell>
        </row>
        <row r="1277">
          <cell r="Q1277">
            <v>0.14000000000000001</v>
          </cell>
          <cell r="R1277">
            <v>0.99940828402366866</v>
          </cell>
          <cell r="S1277">
            <v>0</v>
          </cell>
          <cell r="T1277">
            <v>0</v>
          </cell>
          <cell r="U1277">
            <v>0.5</v>
          </cell>
          <cell r="V1277">
            <v>0</v>
          </cell>
        </row>
        <row r="1278">
          <cell r="Q1278">
            <v>0.14000000000000001</v>
          </cell>
          <cell r="R1278">
            <v>0.99940828402366866</v>
          </cell>
          <cell r="S1278">
            <v>0</v>
          </cell>
          <cell r="T1278">
            <v>0</v>
          </cell>
          <cell r="U1278">
            <v>0.5</v>
          </cell>
          <cell r="V1278">
            <v>0</v>
          </cell>
        </row>
        <row r="1279">
          <cell r="Q1279">
            <v>0.14000000000000001</v>
          </cell>
          <cell r="R1279">
            <v>0.99940828402366866</v>
          </cell>
          <cell r="S1279">
            <v>0</v>
          </cell>
          <cell r="T1279">
            <v>0</v>
          </cell>
          <cell r="U1279">
            <v>0.5</v>
          </cell>
          <cell r="V1279">
            <v>0</v>
          </cell>
        </row>
        <row r="1280">
          <cell r="Q1280">
            <v>0.14000000000000001</v>
          </cell>
          <cell r="R1280">
            <v>0.99940828402366866</v>
          </cell>
          <cell r="S1280">
            <v>0</v>
          </cell>
          <cell r="T1280">
            <v>0</v>
          </cell>
          <cell r="U1280">
            <v>0.5</v>
          </cell>
          <cell r="V1280">
            <v>0</v>
          </cell>
        </row>
        <row r="1281">
          <cell r="Q1281">
            <v>0.14000000000000001</v>
          </cell>
          <cell r="R1281">
            <v>0.99940828402366866</v>
          </cell>
          <cell r="S1281">
            <v>0</v>
          </cell>
          <cell r="T1281">
            <v>0</v>
          </cell>
          <cell r="U1281">
            <v>0.5</v>
          </cell>
          <cell r="V1281">
            <v>0</v>
          </cell>
        </row>
        <row r="1282">
          <cell r="Q1282">
            <v>0.14000000000000001</v>
          </cell>
          <cell r="R1282">
            <v>0.99940828402366866</v>
          </cell>
          <cell r="S1282">
            <v>0</v>
          </cell>
          <cell r="T1282">
            <v>0</v>
          </cell>
          <cell r="U1282">
            <v>0.5</v>
          </cell>
          <cell r="V1282">
            <v>0</v>
          </cell>
        </row>
        <row r="1283">
          <cell r="Q1283">
            <v>7.4285714285714288E-2</v>
          </cell>
          <cell r="R1283">
            <v>0.99940828402366866</v>
          </cell>
          <cell r="S1283">
            <v>0</v>
          </cell>
          <cell r="T1283">
            <v>0.38624338624338622</v>
          </cell>
          <cell r="U1283">
            <v>0.5</v>
          </cell>
          <cell r="V1283">
            <v>0</v>
          </cell>
        </row>
        <row r="1284">
          <cell r="Q1284">
            <v>0.26285714285714284</v>
          </cell>
          <cell r="R1284">
            <v>0.99940828402366866</v>
          </cell>
          <cell r="S1284">
            <v>0</v>
          </cell>
          <cell r="T1284">
            <v>0</v>
          </cell>
          <cell r="U1284">
            <v>0.25</v>
          </cell>
          <cell r="V1284">
            <v>0</v>
          </cell>
        </row>
        <row r="1285">
          <cell r="Q1285">
            <v>0.26285714285714284</v>
          </cell>
          <cell r="R1285">
            <v>0.99940828402366866</v>
          </cell>
          <cell r="S1285">
            <v>0</v>
          </cell>
          <cell r="T1285">
            <v>0</v>
          </cell>
          <cell r="U1285">
            <v>0.25</v>
          </cell>
          <cell r="V1285">
            <v>0</v>
          </cell>
        </row>
        <row r="1286">
          <cell r="Q1286">
            <v>7.1428571428571425E-2</v>
          </cell>
          <cell r="R1286">
            <v>0.99940828402366866</v>
          </cell>
          <cell r="S1286">
            <v>0</v>
          </cell>
          <cell r="T1286">
            <v>0</v>
          </cell>
          <cell r="U1286">
            <v>0.5</v>
          </cell>
          <cell r="V1286">
            <v>0.13181019332161686</v>
          </cell>
        </row>
        <row r="1287">
          <cell r="Q1287">
            <v>0.13714285714285715</v>
          </cell>
          <cell r="R1287">
            <v>0.99940828402366866</v>
          </cell>
          <cell r="S1287">
            <v>0</v>
          </cell>
          <cell r="T1287">
            <v>0</v>
          </cell>
          <cell r="U1287">
            <v>0.5</v>
          </cell>
          <cell r="V1287">
            <v>0</v>
          </cell>
        </row>
        <row r="1288">
          <cell r="Q1288">
            <v>0.13714285714285715</v>
          </cell>
          <cell r="R1288">
            <v>0.99940828402366866</v>
          </cell>
          <cell r="S1288">
            <v>0</v>
          </cell>
          <cell r="T1288">
            <v>0</v>
          </cell>
          <cell r="U1288">
            <v>0.5</v>
          </cell>
          <cell r="V1288">
            <v>0</v>
          </cell>
        </row>
        <row r="1289">
          <cell r="Q1289">
            <v>0.13714285714285715</v>
          </cell>
          <cell r="R1289">
            <v>0.99940828402366866</v>
          </cell>
          <cell r="S1289">
            <v>0</v>
          </cell>
          <cell r="T1289">
            <v>0</v>
          </cell>
          <cell r="U1289">
            <v>0.5</v>
          </cell>
          <cell r="V1289">
            <v>0</v>
          </cell>
        </row>
        <row r="1290">
          <cell r="Q1290">
            <v>0.13714285714285715</v>
          </cell>
          <cell r="R1290">
            <v>0.99940828402366866</v>
          </cell>
          <cell r="S1290">
            <v>0</v>
          </cell>
          <cell r="T1290">
            <v>0</v>
          </cell>
          <cell r="U1290">
            <v>0.5</v>
          </cell>
          <cell r="V1290">
            <v>0</v>
          </cell>
        </row>
        <row r="1291">
          <cell r="Q1291">
            <v>0.13714285714285715</v>
          </cell>
          <cell r="R1291">
            <v>0.99940828402366866</v>
          </cell>
          <cell r="S1291">
            <v>0</v>
          </cell>
          <cell r="T1291">
            <v>0</v>
          </cell>
          <cell r="U1291">
            <v>0.5</v>
          </cell>
          <cell r="V1291">
            <v>0</v>
          </cell>
        </row>
        <row r="1292">
          <cell r="Q1292">
            <v>0.13714285714285715</v>
          </cell>
          <cell r="R1292">
            <v>0.99940828402366866</v>
          </cell>
          <cell r="S1292">
            <v>0</v>
          </cell>
          <cell r="T1292">
            <v>0</v>
          </cell>
          <cell r="U1292">
            <v>0.5</v>
          </cell>
          <cell r="V1292">
            <v>0</v>
          </cell>
        </row>
        <row r="1293">
          <cell r="Q1293">
            <v>0.13714285714285715</v>
          </cell>
          <cell r="R1293">
            <v>0.99940828402366866</v>
          </cell>
          <cell r="S1293">
            <v>0</v>
          </cell>
          <cell r="T1293">
            <v>0</v>
          </cell>
          <cell r="U1293">
            <v>0.5</v>
          </cell>
          <cell r="V1293">
            <v>0</v>
          </cell>
        </row>
        <row r="1294">
          <cell r="Q1294">
            <v>0.13714285714285715</v>
          </cell>
          <cell r="R1294">
            <v>0.99940828402366866</v>
          </cell>
          <cell r="S1294">
            <v>0</v>
          </cell>
          <cell r="T1294">
            <v>0</v>
          </cell>
          <cell r="U1294">
            <v>0.5</v>
          </cell>
          <cell r="V1294">
            <v>0</v>
          </cell>
        </row>
        <row r="1295">
          <cell r="Q1295">
            <v>0.37714285714285717</v>
          </cell>
          <cell r="R1295">
            <v>0.99940828402366866</v>
          </cell>
          <cell r="S1295">
            <v>0</v>
          </cell>
          <cell r="T1295">
            <v>4.947229551451187E-2</v>
          </cell>
          <cell r="U1295">
            <v>0</v>
          </cell>
          <cell r="V1295">
            <v>0</v>
          </cell>
        </row>
        <row r="1296">
          <cell r="Q1296">
            <v>0.13428571428571429</v>
          </cell>
          <cell r="R1296">
            <v>0.99940828402366866</v>
          </cell>
          <cell r="S1296">
            <v>0</v>
          </cell>
          <cell r="T1296">
            <v>0</v>
          </cell>
          <cell r="U1296">
            <v>0.5</v>
          </cell>
          <cell r="V1296">
            <v>0</v>
          </cell>
        </row>
        <row r="1297">
          <cell r="Q1297">
            <v>0.13428571428571429</v>
          </cell>
          <cell r="R1297">
            <v>0.99940828402366866</v>
          </cell>
          <cell r="S1297">
            <v>0</v>
          </cell>
          <cell r="T1297">
            <v>0</v>
          </cell>
          <cell r="U1297">
            <v>0.5</v>
          </cell>
          <cell r="V1297">
            <v>0</v>
          </cell>
        </row>
        <row r="1298">
          <cell r="Q1298">
            <v>0.13428571428571429</v>
          </cell>
          <cell r="R1298">
            <v>0.99940828402366866</v>
          </cell>
          <cell r="S1298">
            <v>0</v>
          </cell>
          <cell r="T1298">
            <v>0</v>
          </cell>
          <cell r="U1298">
            <v>0.5</v>
          </cell>
          <cell r="V1298">
            <v>0</v>
          </cell>
        </row>
        <row r="1299">
          <cell r="Q1299">
            <v>0.13428571428571429</v>
          </cell>
          <cell r="R1299">
            <v>0.99940828402366866</v>
          </cell>
          <cell r="S1299">
            <v>0</v>
          </cell>
          <cell r="T1299">
            <v>0</v>
          </cell>
          <cell r="U1299">
            <v>0.5</v>
          </cell>
          <cell r="V1299">
            <v>0</v>
          </cell>
        </row>
        <row r="1300">
          <cell r="Q1300">
            <v>0.13428571428571429</v>
          </cell>
          <cell r="R1300">
            <v>0.99940828402366866</v>
          </cell>
          <cell r="S1300">
            <v>0</v>
          </cell>
          <cell r="T1300">
            <v>0</v>
          </cell>
          <cell r="U1300">
            <v>0.5</v>
          </cell>
          <cell r="V1300">
            <v>0</v>
          </cell>
        </row>
        <row r="1301">
          <cell r="Q1301">
            <v>0.13428571428571429</v>
          </cell>
          <cell r="R1301">
            <v>0.99940828402366866</v>
          </cell>
          <cell r="S1301">
            <v>0</v>
          </cell>
          <cell r="T1301">
            <v>0</v>
          </cell>
          <cell r="U1301">
            <v>0.5</v>
          </cell>
          <cell r="V1301">
            <v>0</v>
          </cell>
        </row>
        <row r="1302">
          <cell r="Q1302">
            <v>0.21714285714285714</v>
          </cell>
          <cell r="R1302">
            <v>0.99940828402366866</v>
          </cell>
          <cell r="S1302">
            <v>0</v>
          </cell>
          <cell r="T1302">
            <v>1</v>
          </cell>
          <cell r="U1302">
            <v>0</v>
          </cell>
          <cell r="V1302">
            <v>0</v>
          </cell>
        </row>
        <row r="1303">
          <cell r="Q1303">
            <v>3.1428571428571431E-2</v>
          </cell>
          <cell r="R1303">
            <v>0.99940828402366866</v>
          </cell>
          <cell r="S1303">
            <v>0</v>
          </cell>
          <cell r="T1303">
            <v>0</v>
          </cell>
          <cell r="U1303">
            <v>0.5</v>
          </cell>
          <cell r="V1303">
            <v>0.20327916424840395</v>
          </cell>
        </row>
        <row r="1304">
          <cell r="Q1304">
            <v>0.12</v>
          </cell>
          <cell r="R1304">
            <v>0.99940828402366866</v>
          </cell>
          <cell r="S1304">
            <v>0</v>
          </cell>
          <cell r="T1304">
            <v>7.5187969924812026E-2</v>
          </cell>
          <cell r="U1304">
            <v>0.5</v>
          </cell>
          <cell r="V1304">
            <v>0</v>
          </cell>
        </row>
        <row r="1305">
          <cell r="Q1305">
            <v>0.25714285714285712</v>
          </cell>
          <cell r="R1305">
            <v>0.99940828402366866</v>
          </cell>
          <cell r="S1305">
            <v>0</v>
          </cell>
          <cell r="T1305">
            <v>0</v>
          </cell>
          <cell r="U1305">
            <v>0.25</v>
          </cell>
          <cell r="V1305">
            <v>0</v>
          </cell>
        </row>
        <row r="1306">
          <cell r="Q1306">
            <v>0.13142857142857142</v>
          </cell>
          <cell r="R1306">
            <v>0.99940828402366866</v>
          </cell>
          <cell r="S1306">
            <v>0</v>
          </cell>
          <cell r="T1306">
            <v>0</v>
          </cell>
          <cell r="U1306">
            <v>0.5</v>
          </cell>
          <cell r="V1306">
            <v>0</v>
          </cell>
        </row>
        <row r="1307">
          <cell r="Q1307">
            <v>0.13142857142857142</v>
          </cell>
          <cell r="R1307">
            <v>0.99940828402366866</v>
          </cell>
          <cell r="S1307">
            <v>0</v>
          </cell>
          <cell r="T1307">
            <v>0</v>
          </cell>
          <cell r="U1307">
            <v>0.5</v>
          </cell>
          <cell r="V1307">
            <v>0</v>
          </cell>
        </row>
        <row r="1308">
          <cell r="Q1308">
            <v>1.4285714285714285E-2</v>
          </cell>
          <cell r="R1308">
            <v>0.99940828402366866</v>
          </cell>
          <cell r="S1308">
            <v>0</v>
          </cell>
          <cell r="T1308">
            <v>0</v>
          </cell>
          <cell r="U1308">
            <v>0</v>
          </cell>
          <cell r="V1308">
            <v>0.73372748969407675</v>
          </cell>
        </row>
        <row r="1309">
          <cell r="Q1309">
            <v>0.12</v>
          </cell>
          <cell r="R1309">
            <v>0.99940828402366866</v>
          </cell>
          <cell r="S1309">
            <v>0</v>
          </cell>
          <cell r="T1309">
            <v>5.9038344491783322E-2</v>
          </cell>
          <cell r="U1309">
            <v>0.5</v>
          </cell>
          <cell r="V1309">
            <v>0</v>
          </cell>
        </row>
        <row r="1310">
          <cell r="Q1310">
            <v>0.10285714285714286</v>
          </cell>
          <cell r="R1310">
            <v>0.99940828402366866</v>
          </cell>
          <cell r="S1310">
            <v>0</v>
          </cell>
          <cell r="T1310">
            <v>0</v>
          </cell>
          <cell r="U1310">
            <v>0.5</v>
          </cell>
          <cell r="V1310">
            <v>5.3631284916201116E-2</v>
          </cell>
        </row>
        <row r="1311">
          <cell r="Q1311">
            <v>0.12857142857142856</v>
          </cell>
          <cell r="R1311">
            <v>0.99940828402366866</v>
          </cell>
          <cell r="S1311">
            <v>0</v>
          </cell>
          <cell r="T1311">
            <v>1.0860121633362294E-3</v>
          </cell>
          <cell r="U1311">
            <v>0.5</v>
          </cell>
          <cell r="V1311">
            <v>0</v>
          </cell>
        </row>
        <row r="1312">
          <cell r="Q1312">
            <v>0.12857142857142856</v>
          </cell>
          <cell r="R1312">
            <v>0.99940828402366866</v>
          </cell>
          <cell r="S1312">
            <v>0</v>
          </cell>
          <cell r="T1312">
            <v>0</v>
          </cell>
          <cell r="U1312">
            <v>0.5</v>
          </cell>
          <cell r="V1312">
            <v>0</v>
          </cell>
        </row>
        <row r="1313">
          <cell r="Q1313">
            <v>0.12857142857142856</v>
          </cell>
          <cell r="R1313">
            <v>0.99940828402366866</v>
          </cell>
          <cell r="S1313">
            <v>0</v>
          </cell>
          <cell r="T1313">
            <v>0</v>
          </cell>
          <cell r="U1313">
            <v>0.5</v>
          </cell>
          <cell r="V1313">
            <v>0</v>
          </cell>
        </row>
        <row r="1314">
          <cell r="Q1314">
            <v>0.12857142857142856</v>
          </cell>
          <cell r="R1314">
            <v>0.99940828402366866</v>
          </cell>
          <cell r="S1314">
            <v>0</v>
          </cell>
          <cell r="T1314">
            <v>0</v>
          </cell>
          <cell r="U1314">
            <v>0.5</v>
          </cell>
          <cell r="V1314">
            <v>0</v>
          </cell>
        </row>
        <row r="1315">
          <cell r="Q1315">
            <v>2.8571428571428571E-3</v>
          </cell>
          <cell r="R1315">
            <v>0.99940828402366866</v>
          </cell>
          <cell r="S1315">
            <v>0</v>
          </cell>
          <cell r="T1315">
            <v>0</v>
          </cell>
          <cell r="U1315">
            <v>0.75</v>
          </cell>
          <cell r="V1315">
            <v>0</v>
          </cell>
        </row>
        <row r="1316">
          <cell r="Q1316">
            <v>0.24857142857142858</v>
          </cell>
          <cell r="R1316">
            <v>0.99940828402366866</v>
          </cell>
          <cell r="S1316">
            <v>0</v>
          </cell>
          <cell r="T1316">
            <v>0</v>
          </cell>
          <cell r="U1316">
            <v>0.25</v>
          </cell>
          <cell r="V1316">
            <v>5.1739926739926738E-3</v>
          </cell>
        </row>
        <row r="1317">
          <cell r="Q1317">
            <v>0.12571428571428572</v>
          </cell>
          <cell r="R1317">
            <v>0.99940828402366866</v>
          </cell>
          <cell r="S1317">
            <v>0</v>
          </cell>
          <cell r="T1317">
            <v>0</v>
          </cell>
          <cell r="U1317">
            <v>0.5</v>
          </cell>
          <cell r="V1317">
            <v>0</v>
          </cell>
        </row>
        <row r="1318">
          <cell r="Q1318">
            <v>0.12571428571428572</v>
          </cell>
          <cell r="R1318">
            <v>0.99940828402366866</v>
          </cell>
          <cell r="S1318">
            <v>0</v>
          </cell>
          <cell r="T1318">
            <v>0</v>
          </cell>
          <cell r="U1318">
            <v>0.5</v>
          </cell>
          <cell r="V1318">
            <v>0</v>
          </cell>
        </row>
        <row r="1319">
          <cell r="Q1319">
            <v>0.12571428571428572</v>
          </cell>
          <cell r="R1319">
            <v>0.99940828402366866</v>
          </cell>
          <cell r="S1319">
            <v>0</v>
          </cell>
          <cell r="T1319">
            <v>0</v>
          </cell>
          <cell r="U1319">
            <v>0.5</v>
          </cell>
          <cell r="V1319">
            <v>0</v>
          </cell>
        </row>
        <row r="1320">
          <cell r="Q1320">
            <v>0.24857142857142858</v>
          </cell>
          <cell r="R1320">
            <v>0.99940828402366866</v>
          </cell>
          <cell r="S1320">
            <v>0</v>
          </cell>
          <cell r="T1320">
            <v>0</v>
          </cell>
          <cell r="U1320">
            <v>0.25</v>
          </cell>
          <cell r="V1320">
            <v>0</v>
          </cell>
        </row>
        <row r="1321">
          <cell r="Q1321">
            <v>0.24857142857142858</v>
          </cell>
          <cell r="R1321">
            <v>0.99940828402366866</v>
          </cell>
          <cell r="S1321">
            <v>0</v>
          </cell>
          <cell r="T1321">
            <v>0</v>
          </cell>
          <cell r="U1321">
            <v>0.25</v>
          </cell>
          <cell r="V1321">
            <v>0</v>
          </cell>
        </row>
        <row r="1322">
          <cell r="Q1322">
            <v>0.12285714285714286</v>
          </cell>
          <cell r="R1322">
            <v>0.99940828402366866</v>
          </cell>
          <cell r="S1322">
            <v>0</v>
          </cell>
          <cell r="T1322">
            <v>0</v>
          </cell>
          <cell r="U1322">
            <v>0.5</v>
          </cell>
          <cell r="V1322">
            <v>0</v>
          </cell>
        </row>
        <row r="1323">
          <cell r="Q1323">
            <v>0.12285714285714286</v>
          </cell>
          <cell r="R1323">
            <v>0.99940828402366866</v>
          </cell>
          <cell r="S1323">
            <v>0</v>
          </cell>
          <cell r="T1323">
            <v>0</v>
          </cell>
          <cell r="U1323">
            <v>0.5</v>
          </cell>
          <cell r="V1323">
            <v>0</v>
          </cell>
        </row>
        <row r="1324">
          <cell r="Q1324">
            <v>0.12285714285714286</v>
          </cell>
          <cell r="R1324">
            <v>0.99940828402366866</v>
          </cell>
          <cell r="S1324">
            <v>0</v>
          </cell>
          <cell r="T1324">
            <v>0</v>
          </cell>
          <cell r="U1324">
            <v>0.5</v>
          </cell>
          <cell r="V1324">
            <v>0</v>
          </cell>
        </row>
        <row r="1325">
          <cell r="Q1325">
            <v>0.12285714285714286</v>
          </cell>
          <cell r="R1325">
            <v>0.99940828402366866</v>
          </cell>
          <cell r="S1325">
            <v>0</v>
          </cell>
          <cell r="T1325">
            <v>0</v>
          </cell>
          <cell r="U1325">
            <v>0.5</v>
          </cell>
          <cell r="V1325">
            <v>0</v>
          </cell>
        </row>
        <row r="1326">
          <cell r="Q1326">
            <v>8.2857142857142851E-2</v>
          </cell>
          <cell r="R1326">
            <v>0.99940828402366866</v>
          </cell>
          <cell r="S1326">
            <v>0</v>
          </cell>
          <cell r="T1326">
            <v>0</v>
          </cell>
          <cell r="U1326">
            <v>0.5</v>
          </cell>
          <cell r="V1326">
            <v>7.4563871693866066E-2</v>
          </cell>
        </row>
        <row r="1327">
          <cell r="Q1327">
            <v>0.12</v>
          </cell>
          <cell r="R1327">
            <v>0.99940828402366866</v>
          </cell>
          <cell r="S1327">
            <v>0</v>
          </cell>
          <cell r="T1327">
            <v>0</v>
          </cell>
          <cell r="U1327">
            <v>0.5</v>
          </cell>
          <cell r="V1327">
            <v>0</v>
          </cell>
        </row>
        <row r="1328">
          <cell r="Q1328">
            <v>0.12</v>
          </cell>
          <cell r="R1328">
            <v>0.99940828402366866</v>
          </cell>
          <cell r="S1328">
            <v>0</v>
          </cell>
          <cell r="T1328">
            <v>0</v>
          </cell>
          <cell r="U1328">
            <v>0.5</v>
          </cell>
          <cell r="V1328">
            <v>0</v>
          </cell>
        </row>
        <row r="1329">
          <cell r="Q1329">
            <v>0.12</v>
          </cell>
          <cell r="R1329">
            <v>0.99940828402366866</v>
          </cell>
          <cell r="S1329">
            <v>0</v>
          </cell>
          <cell r="T1329">
            <v>0</v>
          </cell>
          <cell r="U1329">
            <v>0.5</v>
          </cell>
          <cell r="V1329">
            <v>0</v>
          </cell>
        </row>
        <row r="1330">
          <cell r="Q1330">
            <v>0.12</v>
          </cell>
          <cell r="R1330">
            <v>0.99940828402366866</v>
          </cell>
          <cell r="S1330">
            <v>0</v>
          </cell>
          <cell r="T1330">
            <v>0</v>
          </cell>
          <cell r="U1330">
            <v>0.5</v>
          </cell>
          <cell r="V1330">
            <v>0</v>
          </cell>
        </row>
        <row r="1331">
          <cell r="Q1331">
            <v>0.11714285714285715</v>
          </cell>
          <cell r="R1331">
            <v>0.99940828402366866</v>
          </cell>
          <cell r="S1331">
            <v>0</v>
          </cell>
          <cell r="T1331">
            <v>0</v>
          </cell>
          <cell r="U1331">
            <v>0.5</v>
          </cell>
          <cell r="V1331">
            <v>0</v>
          </cell>
        </row>
        <row r="1332">
          <cell r="Q1332">
            <v>0.11714285714285715</v>
          </cell>
          <cell r="R1332">
            <v>0.99940828402366866</v>
          </cell>
          <cell r="S1332">
            <v>0</v>
          </cell>
          <cell r="T1332">
            <v>0</v>
          </cell>
          <cell r="U1332">
            <v>0.5</v>
          </cell>
          <cell r="V1332">
            <v>0</v>
          </cell>
        </row>
        <row r="1333">
          <cell r="Q1333">
            <v>0.11714285714285715</v>
          </cell>
          <cell r="R1333">
            <v>0.99940828402366866</v>
          </cell>
          <cell r="S1333">
            <v>0</v>
          </cell>
          <cell r="T1333">
            <v>0</v>
          </cell>
          <cell r="U1333">
            <v>0.5</v>
          </cell>
          <cell r="V1333">
            <v>0</v>
          </cell>
        </row>
        <row r="1334">
          <cell r="Q1334">
            <v>0.11714285714285715</v>
          </cell>
          <cell r="R1334">
            <v>0.99940828402366866</v>
          </cell>
          <cell r="S1334">
            <v>0</v>
          </cell>
          <cell r="T1334">
            <v>0</v>
          </cell>
          <cell r="U1334">
            <v>0.5</v>
          </cell>
          <cell r="V1334">
            <v>0</v>
          </cell>
        </row>
        <row r="1335">
          <cell r="Q1335">
            <v>0.10857142857142857</v>
          </cell>
          <cell r="R1335">
            <v>0.99940828402366866</v>
          </cell>
          <cell r="S1335">
            <v>0</v>
          </cell>
          <cell r="T1335">
            <v>4.7217537942664416E-2</v>
          </cell>
          <cell r="U1335">
            <v>0.5</v>
          </cell>
          <cell r="V1335">
            <v>0</v>
          </cell>
        </row>
        <row r="1336">
          <cell r="Q1336">
            <v>0.19428571428571428</v>
          </cell>
          <cell r="R1336">
            <v>0.99940828402366866</v>
          </cell>
          <cell r="S1336">
            <v>0</v>
          </cell>
          <cell r="T1336">
            <v>0.27572531830515551</v>
          </cell>
          <cell r="U1336">
            <v>0.25</v>
          </cell>
          <cell r="V1336">
            <v>0</v>
          </cell>
        </row>
        <row r="1337">
          <cell r="Q1337">
            <v>0.10285714285714286</v>
          </cell>
          <cell r="R1337">
            <v>0.99940828402366866</v>
          </cell>
          <cell r="S1337">
            <v>0</v>
          </cell>
          <cell r="T1337">
            <v>0.82352941176470584</v>
          </cell>
          <cell r="U1337">
            <v>0.25</v>
          </cell>
          <cell r="V1337">
            <v>0</v>
          </cell>
        </row>
        <row r="1338">
          <cell r="Q1338">
            <v>0.1</v>
          </cell>
          <cell r="R1338">
            <v>0.99940828402366866</v>
          </cell>
          <cell r="S1338">
            <v>0</v>
          </cell>
          <cell r="T1338">
            <v>9.034907597535935E-2</v>
          </cell>
          <cell r="U1338">
            <v>0.5</v>
          </cell>
          <cell r="V1338">
            <v>0</v>
          </cell>
        </row>
        <row r="1339">
          <cell r="Q1339">
            <v>0.24</v>
          </cell>
          <cell r="R1339">
            <v>0.99940828402366866</v>
          </cell>
          <cell r="S1339">
            <v>0</v>
          </cell>
          <cell r="T1339">
            <v>0</v>
          </cell>
          <cell r="U1339">
            <v>0.25</v>
          </cell>
          <cell r="V1339">
            <v>0</v>
          </cell>
        </row>
        <row r="1340">
          <cell r="Q1340">
            <v>0.24</v>
          </cell>
          <cell r="R1340">
            <v>0.99940828402366866</v>
          </cell>
          <cell r="S1340">
            <v>0</v>
          </cell>
          <cell r="T1340">
            <v>0</v>
          </cell>
          <cell r="U1340">
            <v>0.25</v>
          </cell>
          <cell r="V1340">
            <v>0</v>
          </cell>
        </row>
        <row r="1341">
          <cell r="Q1341">
            <v>0.11428571428571428</v>
          </cell>
          <cell r="R1341">
            <v>0.99940828402366866</v>
          </cell>
          <cell r="S1341">
            <v>0</v>
          </cell>
          <cell r="T1341">
            <v>0</v>
          </cell>
          <cell r="U1341">
            <v>0.5</v>
          </cell>
          <cell r="V1341">
            <v>0</v>
          </cell>
        </row>
        <row r="1342">
          <cell r="Q1342">
            <v>0.11428571428571428</v>
          </cell>
          <cell r="R1342">
            <v>0.99940828402366866</v>
          </cell>
          <cell r="S1342">
            <v>0</v>
          </cell>
          <cell r="T1342">
            <v>0</v>
          </cell>
          <cell r="U1342">
            <v>0.5</v>
          </cell>
          <cell r="V1342">
            <v>0</v>
          </cell>
        </row>
        <row r="1343">
          <cell r="Q1343">
            <v>0.11428571428571428</v>
          </cell>
          <cell r="R1343">
            <v>0.99940828402366866</v>
          </cell>
          <cell r="S1343">
            <v>0</v>
          </cell>
          <cell r="T1343">
            <v>0</v>
          </cell>
          <cell r="U1343">
            <v>0.5</v>
          </cell>
          <cell r="V1343">
            <v>0</v>
          </cell>
        </row>
        <row r="1344">
          <cell r="Q1344">
            <v>0.11428571428571428</v>
          </cell>
          <cell r="R1344">
            <v>0.99940828402366866</v>
          </cell>
          <cell r="S1344">
            <v>0</v>
          </cell>
          <cell r="T1344">
            <v>0</v>
          </cell>
          <cell r="U1344">
            <v>0.5</v>
          </cell>
          <cell r="V1344">
            <v>0</v>
          </cell>
        </row>
        <row r="1345">
          <cell r="Q1345">
            <v>0.11428571428571428</v>
          </cell>
          <cell r="R1345">
            <v>0.99940828402366866</v>
          </cell>
          <cell r="S1345">
            <v>0</v>
          </cell>
          <cell r="T1345">
            <v>0</v>
          </cell>
          <cell r="U1345">
            <v>0.5</v>
          </cell>
          <cell r="V1345">
            <v>0</v>
          </cell>
        </row>
        <row r="1346">
          <cell r="Q1346">
            <v>0.11428571428571428</v>
          </cell>
          <cell r="R1346">
            <v>0.99940828402366866</v>
          </cell>
          <cell r="S1346">
            <v>0</v>
          </cell>
          <cell r="T1346">
            <v>0</v>
          </cell>
          <cell r="U1346">
            <v>0.5</v>
          </cell>
          <cell r="V1346">
            <v>0</v>
          </cell>
        </row>
        <row r="1347">
          <cell r="Q1347">
            <v>0.11428571428571428</v>
          </cell>
          <cell r="R1347">
            <v>0.99940828402366866</v>
          </cell>
          <cell r="S1347">
            <v>0</v>
          </cell>
          <cell r="T1347">
            <v>0</v>
          </cell>
          <cell r="U1347">
            <v>0.5</v>
          </cell>
          <cell r="V1347">
            <v>0</v>
          </cell>
        </row>
        <row r="1348">
          <cell r="Q1348">
            <v>0.11428571428571428</v>
          </cell>
          <cell r="R1348">
            <v>0.99940828402366866</v>
          </cell>
          <cell r="S1348">
            <v>0</v>
          </cell>
          <cell r="T1348">
            <v>0</v>
          </cell>
          <cell r="U1348">
            <v>0.5</v>
          </cell>
          <cell r="V1348">
            <v>0</v>
          </cell>
        </row>
        <row r="1349">
          <cell r="Q1349">
            <v>0.11428571428571428</v>
          </cell>
          <cell r="R1349">
            <v>0.99940828402366866</v>
          </cell>
          <cell r="S1349">
            <v>0</v>
          </cell>
          <cell r="T1349">
            <v>0</v>
          </cell>
          <cell r="U1349">
            <v>0.5</v>
          </cell>
          <cell r="V1349">
            <v>0</v>
          </cell>
        </row>
        <row r="1350">
          <cell r="Q1350">
            <v>0.11428571428571428</v>
          </cell>
          <cell r="R1350">
            <v>0.99940828402366866</v>
          </cell>
          <cell r="S1350">
            <v>0</v>
          </cell>
          <cell r="T1350">
            <v>0</v>
          </cell>
          <cell r="U1350">
            <v>0.5</v>
          </cell>
          <cell r="V1350">
            <v>0</v>
          </cell>
        </row>
        <row r="1351">
          <cell r="Q1351">
            <v>7.1428571428571425E-2</v>
          </cell>
          <cell r="R1351">
            <v>0.99940828402366866</v>
          </cell>
          <cell r="S1351">
            <v>0</v>
          </cell>
          <cell r="T1351">
            <v>0</v>
          </cell>
          <cell r="U1351">
            <v>0.5</v>
          </cell>
          <cell r="V1351">
            <v>8.29135180520571E-2</v>
          </cell>
        </row>
        <row r="1352">
          <cell r="Q1352">
            <v>0.36285714285714288</v>
          </cell>
          <cell r="R1352">
            <v>0.99940828402366866</v>
          </cell>
          <cell r="S1352">
            <v>0</v>
          </cell>
          <cell r="T1352">
            <v>0</v>
          </cell>
          <cell r="U1352">
            <v>0</v>
          </cell>
          <cell r="V1352">
            <v>0</v>
          </cell>
        </row>
        <row r="1353">
          <cell r="Q1353">
            <v>0.10285714285714286</v>
          </cell>
          <cell r="R1353">
            <v>0.99940828402366866</v>
          </cell>
          <cell r="S1353">
            <v>0</v>
          </cell>
          <cell r="T1353">
            <v>0</v>
          </cell>
          <cell r="U1353">
            <v>0.5</v>
          </cell>
          <cell r="V1353">
            <v>1.9195046439628483E-2</v>
          </cell>
        </row>
        <row r="1354">
          <cell r="Q1354">
            <v>0.23714285714285716</v>
          </cell>
          <cell r="R1354">
            <v>0.99940828402366866</v>
          </cell>
          <cell r="S1354">
            <v>0</v>
          </cell>
          <cell r="T1354">
            <v>0</v>
          </cell>
          <cell r="U1354">
            <v>0.25</v>
          </cell>
          <cell r="V1354">
            <v>0</v>
          </cell>
        </row>
        <row r="1355">
          <cell r="Q1355">
            <v>0.11142857142857143</v>
          </cell>
          <cell r="R1355">
            <v>0.99940828402366866</v>
          </cell>
          <cell r="S1355">
            <v>0</v>
          </cell>
          <cell r="T1355">
            <v>0</v>
          </cell>
          <cell r="U1355">
            <v>0.5</v>
          </cell>
          <cell r="V1355">
            <v>0</v>
          </cell>
        </row>
        <row r="1356">
          <cell r="Q1356">
            <v>0.11142857142857143</v>
          </cell>
          <cell r="R1356">
            <v>0.99940828402366866</v>
          </cell>
          <cell r="S1356">
            <v>0</v>
          </cell>
          <cell r="T1356">
            <v>0</v>
          </cell>
          <cell r="U1356">
            <v>0.5</v>
          </cell>
          <cell r="V1356">
            <v>0</v>
          </cell>
        </row>
        <row r="1357">
          <cell r="Q1357">
            <v>0.11142857142857143</v>
          </cell>
          <cell r="R1357">
            <v>0.99940828402366866</v>
          </cell>
          <cell r="S1357">
            <v>0</v>
          </cell>
          <cell r="T1357">
            <v>0</v>
          </cell>
          <cell r="U1357">
            <v>0.5</v>
          </cell>
          <cell r="V1357">
            <v>0</v>
          </cell>
        </row>
        <row r="1358">
          <cell r="Q1358">
            <v>0.11142857142857143</v>
          </cell>
          <cell r="R1358">
            <v>0.99940828402366866</v>
          </cell>
          <cell r="S1358">
            <v>0</v>
          </cell>
          <cell r="T1358">
            <v>0</v>
          </cell>
          <cell r="U1358">
            <v>0.5</v>
          </cell>
          <cell r="V1358">
            <v>0</v>
          </cell>
        </row>
        <row r="1359">
          <cell r="Q1359">
            <v>0.11142857142857143</v>
          </cell>
          <cell r="R1359">
            <v>0.99940828402366866</v>
          </cell>
          <cell r="S1359">
            <v>0</v>
          </cell>
          <cell r="T1359">
            <v>0</v>
          </cell>
          <cell r="U1359">
            <v>0.5</v>
          </cell>
          <cell r="V1359">
            <v>0</v>
          </cell>
        </row>
        <row r="1360">
          <cell r="Q1360">
            <v>8.2857142857142851E-2</v>
          </cell>
          <cell r="R1360">
            <v>0.99940828402366866</v>
          </cell>
          <cell r="S1360">
            <v>0</v>
          </cell>
          <cell r="T1360">
            <v>0</v>
          </cell>
          <cell r="U1360">
            <v>0.5</v>
          </cell>
          <cell r="V1360">
            <v>5.6444444444444443E-2</v>
          </cell>
        </row>
        <row r="1361">
          <cell r="Q1361">
            <v>0.10857142857142857</v>
          </cell>
          <cell r="R1361">
            <v>0.99940828402366866</v>
          </cell>
          <cell r="S1361">
            <v>0</v>
          </cell>
          <cell r="T1361">
            <v>0</v>
          </cell>
          <cell r="U1361">
            <v>0.5</v>
          </cell>
          <cell r="V1361">
            <v>0</v>
          </cell>
        </row>
        <row r="1362">
          <cell r="Q1362">
            <v>0.10857142857142857</v>
          </cell>
          <cell r="R1362">
            <v>0.99940828402366866</v>
          </cell>
          <cell r="S1362">
            <v>0</v>
          </cell>
          <cell r="T1362">
            <v>0</v>
          </cell>
          <cell r="U1362">
            <v>0.5</v>
          </cell>
          <cell r="V1362">
            <v>0</v>
          </cell>
        </row>
        <row r="1363">
          <cell r="Q1363">
            <v>6.5714285714285711E-2</v>
          </cell>
          <cell r="R1363">
            <v>0.99940828402366866</v>
          </cell>
          <cell r="S1363">
            <v>0</v>
          </cell>
          <cell r="T1363">
            <v>1</v>
          </cell>
          <cell r="U1363">
            <v>0.25</v>
          </cell>
          <cell r="V1363">
            <v>0</v>
          </cell>
        </row>
        <row r="1364">
          <cell r="Q1364">
            <v>6.5714285714285711E-2</v>
          </cell>
          <cell r="R1364">
            <v>0.99940828402366866</v>
          </cell>
          <cell r="S1364">
            <v>0</v>
          </cell>
          <cell r="T1364">
            <v>1</v>
          </cell>
          <cell r="U1364">
            <v>0.25</v>
          </cell>
          <cell r="V1364">
            <v>0</v>
          </cell>
        </row>
        <row r="1365">
          <cell r="Q1365">
            <v>0.23142857142857143</v>
          </cell>
          <cell r="R1365">
            <v>0.99940828402366866</v>
          </cell>
          <cell r="S1365">
            <v>0</v>
          </cell>
          <cell r="T1365">
            <v>0</v>
          </cell>
          <cell r="U1365">
            <v>0.25</v>
          </cell>
          <cell r="V1365">
            <v>0</v>
          </cell>
        </row>
        <row r="1366">
          <cell r="Q1366">
            <v>0.23142857142857143</v>
          </cell>
          <cell r="R1366">
            <v>0.99940828402366866</v>
          </cell>
          <cell r="S1366">
            <v>0</v>
          </cell>
          <cell r="T1366">
            <v>0</v>
          </cell>
          <cell r="U1366">
            <v>0.25</v>
          </cell>
          <cell r="V1366">
            <v>0</v>
          </cell>
        </row>
        <row r="1367">
          <cell r="Q1367">
            <v>0.23142857142857143</v>
          </cell>
          <cell r="R1367">
            <v>0.99940828402366866</v>
          </cell>
          <cell r="S1367">
            <v>0</v>
          </cell>
          <cell r="T1367">
            <v>0</v>
          </cell>
          <cell r="U1367">
            <v>0.25</v>
          </cell>
          <cell r="V1367">
            <v>0</v>
          </cell>
        </row>
        <row r="1368">
          <cell r="Q1368">
            <v>0.10571428571428572</v>
          </cell>
          <cell r="R1368">
            <v>0.99940828402366866</v>
          </cell>
          <cell r="S1368">
            <v>0</v>
          </cell>
          <cell r="T1368">
            <v>2.9154518950437317E-3</v>
          </cell>
          <cell r="U1368">
            <v>0.5</v>
          </cell>
          <cell r="V1368">
            <v>0</v>
          </cell>
        </row>
        <row r="1369">
          <cell r="Q1369">
            <v>0.10571428571428572</v>
          </cell>
          <cell r="R1369">
            <v>0.99940828402366866</v>
          </cell>
          <cell r="S1369">
            <v>0</v>
          </cell>
          <cell r="T1369">
            <v>0</v>
          </cell>
          <cell r="U1369">
            <v>0.5</v>
          </cell>
          <cell r="V1369">
            <v>0</v>
          </cell>
        </row>
        <row r="1370">
          <cell r="Q1370">
            <v>0.10571428571428572</v>
          </cell>
          <cell r="R1370">
            <v>0.99940828402366866</v>
          </cell>
          <cell r="S1370">
            <v>0</v>
          </cell>
          <cell r="T1370">
            <v>0</v>
          </cell>
          <cell r="U1370">
            <v>0.5</v>
          </cell>
          <cell r="V1370">
            <v>0</v>
          </cell>
        </row>
        <row r="1371">
          <cell r="Q1371">
            <v>0.10571428571428572</v>
          </cell>
          <cell r="R1371">
            <v>0.99940828402366866</v>
          </cell>
          <cell r="S1371">
            <v>0</v>
          </cell>
          <cell r="T1371">
            <v>0</v>
          </cell>
          <cell r="U1371">
            <v>0.5</v>
          </cell>
          <cell r="V1371">
            <v>0</v>
          </cell>
        </row>
        <row r="1372">
          <cell r="Q1372">
            <v>0.10571428571428572</v>
          </cell>
          <cell r="R1372">
            <v>0.99940828402366866</v>
          </cell>
          <cell r="S1372">
            <v>0</v>
          </cell>
          <cell r="T1372">
            <v>0</v>
          </cell>
          <cell r="U1372">
            <v>0.5</v>
          </cell>
          <cell r="V1372">
            <v>0</v>
          </cell>
        </row>
        <row r="1373">
          <cell r="Q1373">
            <v>0.10571428571428572</v>
          </cell>
          <cell r="R1373">
            <v>0.99940828402366866</v>
          </cell>
          <cell r="S1373">
            <v>0</v>
          </cell>
          <cell r="T1373">
            <v>0</v>
          </cell>
          <cell r="U1373">
            <v>0.5</v>
          </cell>
          <cell r="V1373">
            <v>0</v>
          </cell>
        </row>
        <row r="1374">
          <cell r="Q1374">
            <v>0.10571428571428572</v>
          </cell>
          <cell r="R1374">
            <v>0.99940828402366866</v>
          </cell>
          <cell r="S1374">
            <v>0</v>
          </cell>
          <cell r="T1374">
            <v>0</v>
          </cell>
          <cell r="U1374">
            <v>0.5</v>
          </cell>
          <cell r="V1374">
            <v>0</v>
          </cell>
        </row>
        <row r="1375">
          <cell r="Q1375">
            <v>0.10571428571428572</v>
          </cell>
          <cell r="R1375">
            <v>0.99940828402366866</v>
          </cell>
          <cell r="S1375">
            <v>0</v>
          </cell>
          <cell r="T1375">
            <v>0</v>
          </cell>
          <cell r="U1375">
            <v>0.5</v>
          </cell>
          <cell r="V1375">
            <v>0</v>
          </cell>
        </row>
        <row r="1376">
          <cell r="Q1376">
            <v>0.10571428571428572</v>
          </cell>
          <cell r="R1376">
            <v>0.99940828402366866</v>
          </cell>
          <cell r="S1376">
            <v>0</v>
          </cell>
          <cell r="T1376">
            <v>0</v>
          </cell>
          <cell r="U1376">
            <v>0.5</v>
          </cell>
          <cell r="V1376">
            <v>0</v>
          </cell>
        </row>
        <row r="1377">
          <cell r="Q1377">
            <v>0.10571428571428572</v>
          </cell>
          <cell r="R1377">
            <v>0.99940828402366866</v>
          </cell>
          <cell r="S1377">
            <v>0</v>
          </cell>
          <cell r="T1377">
            <v>0</v>
          </cell>
          <cell r="U1377">
            <v>0.5</v>
          </cell>
          <cell r="V1377">
            <v>0</v>
          </cell>
        </row>
        <row r="1378">
          <cell r="Q1378">
            <v>0.10571428571428572</v>
          </cell>
          <cell r="R1378">
            <v>0.99940828402366866</v>
          </cell>
          <cell r="S1378">
            <v>0</v>
          </cell>
          <cell r="T1378">
            <v>0</v>
          </cell>
          <cell r="U1378">
            <v>0.5</v>
          </cell>
          <cell r="V1378">
            <v>0</v>
          </cell>
        </row>
        <row r="1379">
          <cell r="Q1379">
            <v>0.10571428571428572</v>
          </cell>
          <cell r="R1379">
            <v>0.99940828402366866</v>
          </cell>
          <cell r="S1379">
            <v>0</v>
          </cell>
          <cell r="T1379">
            <v>0</v>
          </cell>
          <cell r="U1379">
            <v>0.5</v>
          </cell>
          <cell r="V1379">
            <v>0</v>
          </cell>
        </row>
        <row r="1380">
          <cell r="Q1380">
            <v>0.10571428571428572</v>
          </cell>
          <cell r="R1380">
            <v>0.99940828402366866</v>
          </cell>
          <cell r="S1380">
            <v>0</v>
          </cell>
          <cell r="T1380">
            <v>0</v>
          </cell>
          <cell r="U1380">
            <v>0.5</v>
          </cell>
          <cell r="V1380">
            <v>0</v>
          </cell>
        </row>
        <row r="1381">
          <cell r="Q1381">
            <v>0.10571428571428572</v>
          </cell>
          <cell r="R1381">
            <v>0.99940828402366866</v>
          </cell>
          <cell r="S1381">
            <v>0</v>
          </cell>
          <cell r="T1381">
            <v>0</v>
          </cell>
          <cell r="U1381">
            <v>0.5</v>
          </cell>
          <cell r="V1381">
            <v>0</v>
          </cell>
        </row>
        <row r="1382">
          <cell r="Q1382">
            <v>0.22857142857142856</v>
          </cell>
          <cell r="R1382">
            <v>0.99940828402366866</v>
          </cell>
          <cell r="S1382">
            <v>0</v>
          </cell>
          <cell r="T1382">
            <v>0</v>
          </cell>
          <cell r="U1382">
            <v>0.25</v>
          </cell>
          <cell r="V1382">
            <v>0</v>
          </cell>
        </row>
        <row r="1383">
          <cell r="Q1383">
            <v>0.22857142857142856</v>
          </cell>
          <cell r="R1383">
            <v>0.99940828402366866</v>
          </cell>
          <cell r="S1383">
            <v>0</v>
          </cell>
          <cell r="T1383">
            <v>0</v>
          </cell>
          <cell r="U1383">
            <v>0.25</v>
          </cell>
          <cell r="V1383">
            <v>0</v>
          </cell>
        </row>
        <row r="1384">
          <cell r="Q1384">
            <v>3.4285714285714287E-2</v>
          </cell>
          <cell r="R1384">
            <v>0.99940828402366866</v>
          </cell>
          <cell r="S1384">
            <v>0</v>
          </cell>
          <cell r="T1384">
            <v>0</v>
          </cell>
          <cell r="U1384">
            <v>0.5</v>
          </cell>
          <cell r="V1384">
            <v>0.13830108827085852</v>
          </cell>
        </row>
        <row r="1385">
          <cell r="Q1385">
            <v>0.10285714285714286</v>
          </cell>
          <cell r="R1385">
            <v>0.99940828402366866</v>
          </cell>
          <cell r="S1385">
            <v>0</v>
          </cell>
          <cell r="T1385">
            <v>0</v>
          </cell>
          <cell r="U1385">
            <v>0.5</v>
          </cell>
          <cell r="V1385">
            <v>0</v>
          </cell>
        </row>
        <row r="1386">
          <cell r="Q1386">
            <v>0.10285714285714286</v>
          </cell>
          <cell r="R1386">
            <v>0.99940828402366866</v>
          </cell>
          <cell r="S1386">
            <v>0</v>
          </cell>
          <cell r="T1386">
            <v>0</v>
          </cell>
          <cell r="U1386">
            <v>0.5</v>
          </cell>
          <cell r="V1386">
            <v>0</v>
          </cell>
        </row>
        <row r="1387">
          <cell r="Q1387">
            <v>0.10285714285714286</v>
          </cell>
          <cell r="R1387">
            <v>0.99940828402366866</v>
          </cell>
          <cell r="S1387">
            <v>0</v>
          </cell>
          <cell r="T1387">
            <v>0</v>
          </cell>
          <cell r="U1387">
            <v>0.5</v>
          </cell>
          <cell r="V1387">
            <v>0</v>
          </cell>
        </row>
        <row r="1388">
          <cell r="Q1388">
            <v>0.10285714285714286</v>
          </cell>
          <cell r="R1388">
            <v>0.99940828402366866</v>
          </cell>
          <cell r="S1388">
            <v>0</v>
          </cell>
          <cell r="T1388">
            <v>0</v>
          </cell>
          <cell r="U1388">
            <v>0.5</v>
          </cell>
          <cell r="V1388">
            <v>0</v>
          </cell>
        </row>
        <row r="1389">
          <cell r="Q1389">
            <v>0.10285714285714286</v>
          </cell>
          <cell r="R1389">
            <v>0.99940828402366866</v>
          </cell>
          <cell r="S1389">
            <v>0</v>
          </cell>
          <cell r="T1389">
            <v>0</v>
          </cell>
          <cell r="U1389">
            <v>0.5</v>
          </cell>
          <cell r="V1389">
            <v>0</v>
          </cell>
        </row>
        <row r="1390">
          <cell r="Q1390">
            <v>0.10285714285714286</v>
          </cell>
          <cell r="R1390">
            <v>0.99940828402366866</v>
          </cell>
          <cell r="S1390">
            <v>0</v>
          </cell>
          <cell r="T1390">
            <v>0</v>
          </cell>
          <cell r="U1390">
            <v>0.5</v>
          </cell>
          <cell r="V1390">
            <v>0</v>
          </cell>
        </row>
        <row r="1391">
          <cell r="Q1391">
            <v>0.10285714285714286</v>
          </cell>
          <cell r="R1391">
            <v>0.99940828402366866</v>
          </cell>
          <cell r="S1391">
            <v>0</v>
          </cell>
          <cell r="T1391">
            <v>0</v>
          </cell>
          <cell r="U1391">
            <v>0.5</v>
          </cell>
          <cell r="V1391">
            <v>0</v>
          </cell>
        </row>
        <row r="1392">
          <cell r="Q1392">
            <v>0.1</v>
          </cell>
          <cell r="R1392">
            <v>0.99940828402366866</v>
          </cell>
          <cell r="S1392">
            <v>0</v>
          </cell>
          <cell r="T1392">
            <v>1.1294526498696786E-2</v>
          </cell>
          <cell r="U1392">
            <v>0.5</v>
          </cell>
          <cell r="V1392">
            <v>0</v>
          </cell>
        </row>
        <row r="1393">
          <cell r="Q1393">
            <v>8.5714285714285715E-2</v>
          </cell>
          <cell r="R1393">
            <v>0.99940828402366866</v>
          </cell>
          <cell r="S1393">
            <v>0</v>
          </cell>
          <cell r="T1393">
            <v>0</v>
          </cell>
          <cell r="U1393">
            <v>0.5</v>
          </cell>
          <cell r="V1393">
            <v>3.1708595387840668E-2</v>
          </cell>
        </row>
        <row r="1394">
          <cell r="Q1394">
            <v>0.2257142857142857</v>
          </cell>
          <cell r="R1394">
            <v>0.99940828402366866</v>
          </cell>
          <cell r="S1394">
            <v>0</v>
          </cell>
          <cell r="T1394">
            <v>3.8774718883288094E-4</v>
          </cell>
          <cell r="U1394">
            <v>0.25</v>
          </cell>
          <cell r="V1394">
            <v>0</v>
          </cell>
        </row>
        <row r="1395">
          <cell r="Q1395">
            <v>0.2257142857142857</v>
          </cell>
          <cell r="R1395">
            <v>0.99940828402366866</v>
          </cell>
          <cell r="S1395">
            <v>0</v>
          </cell>
          <cell r="T1395">
            <v>0</v>
          </cell>
          <cell r="U1395">
            <v>0.25</v>
          </cell>
          <cell r="V1395">
            <v>0</v>
          </cell>
        </row>
        <row r="1396">
          <cell r="Q1396">
            <v>0.2257142857142857</v>
          </cell>
          <cell r="R1396">
            <v>0.99940828402366866</v>
          </cell>
          <cell r="S1396">
            <v>0</v>
          </cell>
          <cell r="T1396">
            <v>0</v>
          </cell>
          <cell r="U1396">
            <v>0.25</v>
          </cell>
          <cell r="V1396">
            <v>0</v>
          </cell>
        </row>
        <row r="1397">
          <cell r="Q1397">
            <v>0.2257142857142857</v>
          </cell>
          <cell r="R1397">
            <v>0.99940828402366866</v>
          </cell>
          <cell r="S1397">
            <v>0</v>
          </cell>
          <cell r="T1397">
            <v>0</v>
          </cell>
          <cell r="U1397">
            <v>0.25</v>
          </cell>
          <cell r="V1397">
            <v>0</v>
          </cell>
        </row>
        <row r="1398">
          <cell r="Q1398">
            <v>0.1</v>
          </cell>
          <cell r="R1398">
            <v>0.99940828402366866</v>
          </cell>
          <cell r="S1398">
            <v>0</v>
          </cell>
          <cell r="T1398">
            <v>0</v>
          </cell>
          <cell r="U1398">
            <v>0.5</v>
          </cell>
          <cell r="V1398">
            <v>0</v>
          </cell>
        </row>
        <row r="1399">
          <cell r="Q1399">
            <v>0.1</v>
          </cell>
          <cell r="R1399">
            <v>0.99940828402366866</v>
          </cell>
          <cell r="S1399">
            <v>0</v>
          </cell>
          <cell r="T1399">
            <v>0</v>
          </cell>
          <cell r="U1399">
            <v>0.5</v>
          </cell>
          <cell r="V1399">
            <v>0</v>
          </cell>
        </row>
        <row r="1400">
          <cell r="Q1400">
            <v>0.1</v>
          </cell>
          <cell r="R1400">
            <v>0.99940828402366866</v>
          </cell>
          <cell r="S1400">
            <v>0</v>
          </cell>
          <cell r="T1400">
            <v>0</v>
          </cell>
          <cell r="U1400">
            <v>0.5</v>
          </cell>
          <cell r="V1400">
            <v>0</v>
          </cell>
        </row>
        <row r="1401">
          <cell r="Q1401">
            <v>0.1</v>
          </cell>
          <cell r="R1401">
            <v>0.99940828402366866</v>
          </cell>
          <cell r="S1401">
            <v>0</v>
          </cell>
          <cell r="T1401">
            <v>0</v>
          </cell>
          <cell r="U1401">
            <v>0.5</v>
          </cell>
          <cell r="V1401">
            <v>0</v>
          </cell>
        </row>
        <row r="1402">
          <cell r="Q1402">
            <v>0.1</v>
          </cell>
          <cell r="R1402">
            <v>0.99940828402366866</v>
          </cell>
          <cell r="S1402">
            <v>0</v>
          </cell>
          <cell r="T1402">
            <v>0</v>
          </cell>
          <cell r="U1402">
            <v>0.5</v>
          </cell>
          <cell r="V1402">
            <v>0</v>
          </cell>
        </row>
        <row r="1403">
          <cell r="Q1403">
            <v>0.1</v>
          </cell>
          <cell r="R1403">
            <v>0.99940828402366866</v>
          </cell>
          <cell r="S1403">
            <v>0</v>
          </cell>
          <cell r="T1403">
            <v>0</v>
          </cell>
          <cell r="U1403">
            <v>0.5</v>
          </cell>
          <cell r="V1403">
            <v>0</v>
          </cell>
        </row>
        <row r="1404">
          <cell r="Q1404">
            <v>0.1</v>
          </cell>
          <cell r="R1404">
            <v>0.99940828402366866</v>
          </cell>
          <cell r="S1404">
            <v>0</v>
          </cell>
          <cell r="T1404">
            <v>0</v>
          </cell>
          <cell r="U1404">
            <v>0.5</v>
          </cell>
          <cell r="V1404">
            <v>0</v>
          </cell>
        </row>
        <row r="1405">
          <cell r="Q1405">
            <v>0.1</v>
          </cell>
          <cell r="R1405">
            <v>0.99940828402366866</v>
          </cell>
          <cell r="S1405">
            <v>0</v>
          </cell>
          <cell r="T1405">
            <v>0</v>
          </cell>
          <cell r="U1405">
            <v>0.5</v>
          </cell>
          <cell r="V1405">
            <v>0</v>
          </cell>
        </row>
        <row r="1406">
          <cell r="Q1406">
            <v>0.1</v>
          </cell>
          <cell r="R1406">
            <v>0.99940828402366866</v>
          </cell>
          <cell r="S1406">
            <v>0</v>
          </cell>
          <cell r="T1406">
            <v>0</v>
          </cell>
          <cell r="U1406">
            <v>0.5</v>
          </cell>
          <cell r="V1406">
            <v>0</v>
          </cell>
        </row>
        <row r="1407">
          <cell r="Q1407">
            <v>0.1</v>
          </cell>
          <cell r="R1407">
            <v>0.99940828402366866</v>
          </cell>
          <cell r="S1407">
            <v>0</v>
          </cell>
          <cell r="T1407">
            <v>0</v>
          </cell>
          <cell r="U1407">
            <v>0.5</v>
          </cell>
          <cell r="V1407">
            <v>0</v>
          </cell>
        </row>
        <row r="1408">
          <cell r="Q1408">
            <v>9.7142857142857142E-2</v>
          </cell>
          <cell r="R1408">
            <v>0.99940828402366866</v>
          </cell>
          <cell r="S1408">
            <v>0</v>
          </cell>
          <cell r="T1408">
            <v>0</v>
          </cell>
          <cell r="U1408">
            <v>0.5</v>
          </cell>
          <cell r="V1408">
            <v>0</v>
          </cell>
        </row>
        <row r="1409">
          <cell r="Q1409">
            <v>8.5714285714285715E-2</v>
          </cell>
          <cell r="R1409">
            <v>0.99940828402366866</v>
          </cell>
          <cell r="S1409">
            <v>0</v>
          </cell>
          <cell r="T1409">
            <v>0</v>
          </cell>
          <cell r="U1409">
            <v>0.5</v>
          </cell>
          <cell r="V1409">
            <v>1.8740157480314962E-2</v>
          </cell>
        </row>
        <row r="1410">
          <cell r="Q1410">
            <v>9.4285714285714292E-2</v>
          </cell>
          <cell r="R1410">
            <v>0.99940828402366866</v>
          </cell>
          <cell r="S1410">
            <v>0</v>
          </cell>
          <cell r="T1410">
            <v>0</v>
          </cell>
          <cell r="U1410">
            <v>0.5</v>
          </cell>
          <cell r="V1410">
            <v>0</v>
          </cell>
        </row>
        <row r="1411">
          <cell r="Q1411">
            <v>9.4285714285714292E-2</v>
          </cell>
          <cell r="R1411">
            <v>0.99940828402366866</v>
          </cell>
          <cell r="S1411">
            <v>0</v>
          </cell>
          <cell r="T1411">
            <v>0</v>
          </cell>
          <cell r="U1411">
            <v>0.5</v>
          </cell>
          <cell r="V1411">
            <v>0</v>
          </cell>
        </row>
        <row r="1412">
          <cell r="Q1412">
            <v>8.2857142857142851E-2</v>
          </cell>
          <cell r="R1412">
            <v>0.99940828402366866</v>
          </cell>
          <cell r="S1412">
            <v>0</v>
          </cell>
          <cell r="T1412">
            <v>0</v>
          </cell>
          <cell r="U1412">
            <v>0.5</v>
          </cell>
          <cell r="V1412">
            <v>2.142434988179669E-2</v>
          </cell>
        </row>
        <row r="1413">
          <cell r="Q1413">
            <v>9.1428571428571428E-2</v>
          </cell>
          <cell r="R1413">
            <v>0.99940828402366866</v>
          </cell>
          <cell r="S1413">
            <v>0</v>
          </cell>
          <cell r="T1413">
            <v>0</v>
          </cell>
          <cell r="U1413">
            <v>0.5</v>
          </cell>
          <cell r="V1413">
            <v>0</v>
          </cell>
        </row>
        <row r="1414">
          <cell r="Q1414">
            <v>9.1428571428571428E-2</v>
          </cell>
          <cell r="R1414">
            <v>0.99940828402366866</v>
          </cell>
          <cell r="S1414">
            <v>0</v>
          </cell>
          <cell r="T1414">
            <v>0</v>
          </cell>
          <cell r="U1414">
            <v>0.5</v>
          </cell>
          <cell r="V1414">
            <v>0</v>
          </cell>
        </row>
        <row r="1415">
          <cell r="Q1415">
            <v>9.1428571428571428E-2</v>
          </cell>
          <cell r="R1415">
            <v>0.99940828402366866</v>
          </cell>
          <cell r="S1415">
            <v>0</v>
          </cell>
          <cell r="T1415">
            <v>0</v>
          </cell>
          <cell r="U1415">
            <v>0.5</v>
          </cell>
          <cell r="V1415">
            <v>0</v>
          </cell>
        </row>
        <row r="1416">
          <cell r="Q1416">
            <v>9.1428571428571428E-2</v>
          </cell>
          <cell r="R1416">
            <v>0.99940828402366866</v>
          </cell>
          <cell r="S1416">
            <v>0</v>
          </cell>
          <cell r="T1416">
            <v>0</v>
          </cell>
          <cell r="U1416">
            <v>0.5</v>
          </cell>
          <cell r="V1416">
            <v>0</v>
          </cell>
        </row>
        <row r="1417">
          <cell r="Q1417">
            <v>9.1428571428571428E-2</v>
          </cell>
          <cell r="R1417">
            <v>0.99940828402366866</v>
          </cell>
          <cell r="S1417">
            <v>0</v>
          </cell>
          <cell r="T1417">
            <v>0</v>
          </cell>
          <cell r="U1417">
            <v>0.5</v>
          </cell>
          <cell r="V1417">
            <v>0</v>
          </cell>
        </row>
        <row r="1418">
          <cell r="Q1418">
            <v>9.1428571428571428E-2</v>
          </cell>
          <cell r="R1418">
            <v>0.99940828402366866</v>
          </cell>
          <cell r="S1418">
            <v>0</v>
          </cell>
          <cell r="T1418">
            <v>0</v>
          </cell>
          <cell r="U1418">
            <v>0.5</v>
          </cell>
          <cell r="V1418">
            <v>0</v>
          </cell>
        </row>
        <row r="1419">
          <cell r="Q1419">
            <v>9.1428571428571428E-2</v>
          </cell>
          <cell r="R1419">
            <v>0.99940828402366866</v>
          </cell>
          <cell r="S1419">
            <v>0</v>
          </cell>
          <cell r="T1419">
            <v>0</v>
          </cell>
          <cell r="U1419">
            <v>0.5</v>
          </cell>
          <cell r="V1419">
            <v>0</v>
          </cell>
        </row>
        <row r="1420">
          <cell r="Q1420">
            <v>9.1428571428571428E-2</v>
          </cell>
          <cell r="R1420">
            <v>0.99940828402366866</v>
          </cell>
          <cell r="S1420">
            <v>0</v>
          </cell>
          <cell r="T1420">
            <v>0</v>
          </cell>
          <cell r="U1420">
            <v>0.5</v>
          </cell>
          <cell r="V1420">
            <v>0</v>
          </cell>
        </row>
        <row r="1421">
          <cell r="Q1421">
            <v>9.1428571428571428E-2</v>
          </cell>
          <cell r="R1421">
            <v>0.99940828402366866</v>
          </cell>
          <cell r="S1421">
            <v>0</v>
          </cell>
          <cell r="T1421">
            <v>0</v>
          </cell>
          <cell r="U1421">
            <v>0.5</v>
          </cell>
          <cell r="V1421">
            <v>0</v>
          </cell>
        </row>
        <row r="1422">
          <cell r="Q1422">
            <v>0.18285714285714286</v>
          </cell>
          <cell r="R1422">
            <v>0.99940828402366866</v>
          </cell>
          <cell r="S1422">
            <v>0</v>
          </cell>
          <cell r="T1422">
            <v>0.18893236444941308</v>
          </cell>
          <cell r="U1422">
            <v>0.25</v>
          </cell>
          <cell r="V1422">
            <v>0</v>
          </cell>
        </row>
        <row r="1423">
          <cell r="Q1423">
            <v>8.8571428571428565E-2</v>
          </cell>
          <cell r="R1423">
            <v>0.99940828402366866</v>
          </cell>
          <cell r="S1423">
            <v>0</v>
          </cell>
          <cell r="T1423">
            <v>0</v>
          </cell>
          <cell r="U1423">
            <v>0.5</v>
          </cell>
          <cell r="V1423">
            <v>0</v>
          </cell>
        </row>
        <row r="1424">
          <cell r="Q1424">
            <v>8.8571428571428565E-2</v>
          </cell>
          <cell r="R1424">
            <v>0.99940828402366866</v>
          </cell>
          <cell r="S1424">
            <v>0</v>
          </cell>
          <cell r="T1424">
            <v>0</v>
          </cell>
          <cell r="U1424">
            <v>0.5</v>
          </cell>
          <cell r="V1424">
            <v>0</v>
          </cell>
        </row>
        <row r="1425">
          <cell r="Q1425">
            <v>0.21142857142857144</v>
          </cell>
          <cell r="R1425">
            <v>0.99940828402366866</v>
          </cell>
          <cell r="S1425">
            <v>0</v>
          </cell>
          <cell r="T1425">
            <v>0</v>
          </cell>
          <cell r="U1425">
            <v>0.25</v>
          </cell>
          <cell r="V1425">
            <v>0</v>
          </cell>
        </row>
        <row r="1426">
          <cell r="Q1426">
            <v>8.5714285714285715E-2</v>
          </cell>
          <cell r="R1426">
            <v>0.99940828402366866</v>
          </cell>
          <cell r="S1426">
            <v>0</v>
          </cell>
          <cell r="T1426">
            <v>0</v>
          </cell>
          <cell r="U1426">
            <v>0.5</v>
          </cell>
          <cell r="V1426">
            <v>0</v>
          </cell>
        </row>
        <row r="1427">
          <cell r="Q1427">
            <v>8.5714285714285715E-2</v>
          </cell>
          <cell r="R1427">
            <v>0.99940828402366866</v>
          </cell>
          <cell r="S1427">
            <v>0</v>
          </cell>
          <cell r="T1427">
            <v>0</v>
          </cell>
          <cell r="U1427">
            <v>0.5</v>
          </cell>
          <cell r="V1427">
            <v>0</v>
          </cell>
        </row>
        <row r="1428">
          <cell r="Q1428">
            <v>8.5714285714285715E-2</v>
          </cell>
          <cell r="R1428">
            <v>0.99940828402366866</v>
          </cell>
          <cell r="S1428">
            <v>0</v>
          </cell>
          <cell r="T1428">
            <v>0</v>
          </cell>
          <cell r="U1428">
            <v>0.5</v>
          </cell>
          <cell r="V1428">
            <v>0</v>
          </cell>
        </row>
        <row r="1429">
          <cell r="Q1429">
            <v>8.5714285714285715E-2</v>
          </cell>
          <cell r="R1429">
            <v>0.99940828402366866</v>
          </cell>
          <cell r="S1429">
            <v>0</v>
          </cell>
          <cell r="T1429">
            <v>0</v>
          </cell>
          <cell r="U1429">
            <v>0.5</v>
          </cell>
          <cell r="V1429">
            <v>0</v>
          </cell>
        </row>
        <row r="1430">
          <cell r="Q1430">
            <v>8.5714285714285715E-2</v>
          </cell>
          <cell r="R1430">
            <v>0.99940828402366866</v>
          </cell>
          <cell r="S1430">
            <v>0</v>
          </cell>
          <cell r="T1430">
            <v>0</v>
          </cell>
          <cell r="U1430">
            <v>0.5</v>
          </cell>
          <cell r="V1430">
            <v>0</v>
          </cell>
        </row>
        <row r="1431">
          <cell r="Q1431">
            <v>0.20857142857142857</v>
          </cell>
          <cell r="R1431">
            <v>0.99940828402366866</v>
          </cell>
          <cell r="S1431">
            <v>0</v>
          </cell>
          <cell r="T1431">
            <v>0</v>
          </cell>
          <cell r="U1431">
            <v>0.25</v>
          </cell>
          <cell r="V1431">
            <v>1.1173184357541898E-3</v>
          </cell>
        </row>
        <row r="1432">
          <cell r="Q1432">
            <v>0.20857142857142857</v>
          </cell>
          <cell r="R1432">
            <v>0.99940828402366866</v>
          </cell>
          <cell r="S1432">
            <v>0</v>
          </cell>
          <cell r="T1432">
            <v>0</v>
          </cell>
          <cell r="U1432">
            <v>0.25</v>
          </cell>
          <cell r="V1432">
            <v>0</v>
          </cell>
        </row>
        <row r="1433">
          <cell r="Q1433">
            <v>0.20857142857142857</v>
          </cell>
          <cell r="R1433">
            <v>0.99940828402366866</v>
          </cell>
          <cell r="S1433">
            <v>0</v>
          </cell>
          <cell r="T1433">
            <v>0</v>
          </cell>
          <cell r="U1433">
            <v>0.25</v>
          </cell>
          <cell r="V1433">
            <v>0</v>
          </cell>
        </row>
        <row r="1434">
          <cell r="Q1434">
            <v>0.20857142857142857</v>
          </cell>
          <cell r="R1434">
            <v>0.99940828402366866</v>
          </cell>
          <cell r="S1434">
            <v>0</v>
          </cell>
          <cell r="T1434">
            <v>0</v>
          </cell>
          <cell r="U1434">
            <v>0.25</v>
          </cell>
          <cell r="V1434">
            <v>0</v>
          </cell>
        </row>
        <row r="1435">
          <cell r="Q1435">
            <v>8.2857142857142851E-2</v>
          </cell>
          <cell r="R1435">
            <v>0.99940828402366866</v>
          </cell>
          <cell r="S1435">
            <v>0</v>
          </cell>
          <cell r="T1435">
            <v>0</v>
          </cell>
          <cell r="U1435">
            <v>0.5</v>
          </cell>
          <cell r="V1435">
            <v>0</v>
          </cell>
        </row>
        <row r="1436">
          <cell r="Q1436">
            <v>8.2857142857142851E-2</v>
          </cell>
          <cell r="R1436">
            <v>0.99940828402366866</v>
          </cell>
          <cell r="S1436">
            <v>0</v>
          </cell>
          <cell r="T1436">
            <v>0</v>
          </cell>
          <cell r="U1436">
            <v>0.5</v>
          </cell>
          <cell r="V1436">
            <v>0</v>
          </cell>
        </row>
        <row r="1437">
          <cell r="Q1437">
            <v>8.2857142857142851E-2</v>
          </cell>
          <cell r="R1437">
            <v>0.99940828402366866</v>
          </cell>
          <cell r="S1437">
            <v>0</v>
          </cell>
          <cell r="T1437">
            <v>0</v>
          </cell>
          <cell r="U1437">
            <v>0.5</v>
          </cell>
          <cell r="V1437">
            <v>0</v>
          </cell>
        </row>
        <row r="1438">
          <cell r="Q1438">
            <v>0.20571428571428571</v>
          </cell>
          <cell r="R1438">
            <v>0.99940828402366866</v>
          </cell>
          <cell r="S1438">
            <v>0</v>
          </cell>
          <cell r="T1438">
            <v>0</v>
          </cell>
          <cell r="U1438">
            <v>0.25</v>
          </cell>
          <cell r="V1438">
            <v>0</v>
          </cell>
        </row>
        <row r="1439">
          <cell r="Q1439">
            <v>0.20571428571428571</v>
          </cell>
          <cell r="R1439">
            <v>0.99940828402366866</v>
          </cell>
          <cell r="S1439">
            <v>0</v>
          </cell>
          <cell r="T1439">
            <v>0</v>
          </cell>
          <cell r="U1439">
            <v>0.25</v>
          </cell>
          <cell r="V1439">
            <v>0</v>
          </cell>
        </row>
        <row r="1440">
          <cell r="Q1440">
            <v>0.20571428571428571</v>
          </cell>
          <cell r="R1440">
            <v>0.99940828402366866</v>
          </cell>
          <cell r="S1440">
            <v>0</v>
          </cell>
          <cell r="T1440">
            <v>0</v>
          </cell>
          <cell r="U1440">
            <v>0.25</v>
          </cell>
          <cell r="V1440">
            <v>0</v>
          </cell>
        </row>
        <row r="1441">
          <cell r="Q1441">
            <v>0.20571428571428571</v>
          </cell>
          <cell r="R1441">
            <v>0.99940828402366866</v>
          </cell>
          <cell r="S1441">
            <v>0</v>
          </cell>
          <cell r="T1441">
            <v>0</v>
          </cell>
          <cell r="U1441">
            <v>0.25</v>
          </cell>
          <cell r="V1441">
            <v>0</v>
          </cell>
        </row>
        <row r="1442">
          <cell r="Q1442">
            <v>0.20571428571428571</v>
          </cell>
          <cell r="R1442">
            <v>0.99940828402366866</v>
          </cell>
          <cell r="S1442">
            <v>0</v>
          </cell>
          <cell r="T1442">
            <v>0</v>
          </cell>
          <cell r="U1442">
            <v>0.25</v>
          </cell>
          <cell r="V1442">
            <v>0</v>
          </cell>
        </row>
        <row r="1443">
          <cell r="Q1443">
            <v>0.08</v>
          </cell>
          <cell r="R1443">
            <v>0.99940828402366866</v>
          </cell>
          <cell r="S1443">
            <v>0</v>
          </cell>
          <cell r="T1443">
            <v>3.8684719535783366E-3</v>
          </cell>
          <cell r="U1443">
            <v>0.5</v>
          </cell>
          <cell r="V1443">
            <v>0</v>
          </cell>
        </row>
        <row r="1444">
          <cell r="Q1444">
            <v>0.08</v>
          </cell>
          <cell r="R1444">
            <v>0.99940828402366866</v>
          </cell>
          <cell r="S1444">
            <v>0</v>
          </cell>
          <cell r="T1444">
            <v>0</v>
          </cell>
          <cell r="U1444">
            <v>0.5</v>
          </cell>
          <cell r="V1444">
            <v>0</v>
          </cell>
        </row>
        <row r="1445">
          <cell r="Q1445">
            <v>0.08</v>
          </cell>
          <cell r="R1445">
            <v>0.99940828402366866</v>
          </cell>
          <cell r="S1445">
            <v>0</v>
          </cell>
          <cell r="T1445">
            <v>0</v>
          </cell>
          <cell r="U1445">
            <v>0.5</v>
          </cell>
          <cell r="V1445">
            <v>0</v>
          </cell>
        </row>
        <row r="1446">
          <cell r="Q1446">
            <v>0.08</v>
          </cell>
          <cell r="R1446">
            <v>0.99940828402366866</v>
          </cell>
          <cell r="S1446">
            <v>0</v>
          </cell>
          <cell r="T1446">
            <v>0</v>
          </cell>
          <cell r="U1446">
            <v>0.5</v>
          </cell>
          <cell r="V1446">
            <v>0</v>
          </cell>
        </row>
        <row r="1447">
          <cell r="Q1447">
            <v>0.11142857142857143</v>
          </cell>
          <cell r="R1447">
            <v>0.99940828402366866</v>
          </cell>
          <cell r="S1447">
            <v>0</v>
          </cell>
          <cell r="T1447">
            <v>0</v>
          </cell>
          <cell r="U1447">
            <v>0.25</v>
          </cell>
          <cell r="V1447">
            <v>0.18240620957309184</v>
          </cell>
        </row>
        <row r="1448">
          <cell r="Q1448">
            <v>7.7142857142857138E-2</v>
          </cell>
          <cell r="R1448">
            <v>0.99940828402366866</v>
          </cell>
          <cell r="S1448">
            <v>0</v>
          </cell>
          <cell r="T1448">
            <v>0</v>
          </cell>
          <cell r="U1448">
            <v>0.5</v>
          </cell>
          <cell r="V1448">
            <v>0</v>
          </cell>
        </row>
        <row r="1449">
          <cell r="Q1449">
            <v>7.7142857142857138E-2</v>
          </cell>
          <cell r="R1449">
            <v>0.99940828402366866</v>
          </cell>
          <cell r="S1449">
            <v>0</v>
          </cell>
          <cell r="T1449">
            <v>0</v>
          </cell>
          <cell r="U1449">
            <v>0.5</v>
          </cell>
          <cell r="V1449">
            <v>0</v>
          </cell>
        </row>
        <row r="1450">
          <cell r="Q1450">
            <v>7.7142857142857138E-2</v>
          </cell>
          <cell r="R1450">
            <v>0.99940828402366866</v>
          </cell>
          <cell r="S1450">
            <v>0</v>
          </cell>
          <cell r="T1450">
            <v>0</v>
          </cell>
          <cell r="U1450">
            <v>0.5</v>
          </cell>
          <cell r="V1450">
            <v>0</v>
          </cell>
        </row>
        <row r="1451">
          <cell r="Q1451">
            <v>7.7142857142857138E-2</v>
          </cell>
          <cell r="R1451">
            <v>0.99940828402366866</v>
          </cell>
          <cell r="S1451">
            <v>0</v>
          </cell>
          <cell r="T1451">
            <v>0</v>
          </cell>
          <cell r="U1451">
            <v>0.5</v>
          </cell>
          <cell r="V1451">
            <v>0</v>
          </cell>
        </row>
        <row r="1452">
          <cell r="Q1452">
            <v>6.5714285714285711E-2</v>
          </cell>
          <cell r="R1452">
            <v>0.99940828402366866</v>
          </cell>
          <cell r="S1452">
            <v>0</v>
          </cell>
          <cell r="T1452">
            <v>0</v>
          </cell>
          <cell r="U1452">
            <v>0.5</v>
          </cell>
          <cell r="V1452">
            <v>2.0598591549295775E-2</v>
          </cell>
        </row>
        <row r="1453">
          <cell r="Q1453">
            <v>7.4285714285714288E-2</v>
          </cell>
          <cell r="R1453">
            <v>0.99940828402366866</v>
          </cell>
          <cell r="S1453">
            <v>0</v>
          </cell>
          <cell r="T1453">
            <v>0</v>
          </cell>
          <cell r="U1453">
            <v>0.5</v>
          </cell>
          <cell r="V1453">
            <v>0</v>
          </cell>
        </row>
        <row r="1454">
          <cell r="Q1454">
            <v>7.4285714285714288E-2</v>
          </cell>
          <cell r="R1454">
            <v>0.99940828402366866</v>
          </cell>
          <cell r="S1454">
            <v>0</v>
          </cell>
          <cell r="T1454">
            <v>0</v>
          </cell>
          <cell r="U1454">
            <v>0.5</v>
          </cell>
          <cell r="V1454">
            <v>0</v>
          </cell>
        </row>
        <row r="1455">
          <cell r="Q1455">
            <v>7.4285714285714288E-2</v>
          </cell>
          <cell r="R1455">
            <v>0.99940828402366866</v>
          </cell>
          <cell r="S1455">
            <v>0</v>
          </cell>
          <cell r="T1455">
            <v>0</v>
          </cell>
          <cell r="U1455">
            <v>0.5</v>
          </cell>
          <cell r="V1455">
            <v>0</v>
          </cell>
        </row>
        <row r="1456">
          <cell r="Q1456">
            <v>7.4285714285714288E-2</v>
          </cell>
          <cell r="R1456">
            <v>0.99940828402366866</v>
          </cell>
          <cell r="S1456">
            <v>0</v>
          </cell>
          <cell r="T1456">
            <v>0</v>
          </cell>
          <cell r="U1456">
            <v>0.5</v>
          </cell>
          <cell r="V1456">
            <v>0</v>
          </cell>
        </row>
        <row r="1457">
          <cell r="Q1457">
            <v>7.4285714285714288E-2</v>
          </cell>
          <cell r="R1457">
            <v>0.99940828402366866</v>
          </cell>
          <cell r="S1457">
            <v>0</v>
          </cell>
          <cell r="T1457">
            <v>0</v>
          </cell>
          <cell r="U1457">
            <v>0.5</v>
          </cell>
          <cell r="V1457">
            <v>0</v>
          </cell>
        </row>
        <row r="1458">
          <cell r="Q1458">
            <v>0.11428571428571428</v>
          </cell>
          <cell r="R1458">
            <v>0.99940828402366866</v>
          </cell>
          <cell r="S1458">
            <v>0</v>
          </cell>
          <cell r="T1458">
            <v>0</v>
          </cell>
          <cell r="U1458">
            <v>0.25</v>
          </cell>
          <cell r="V1458">
            <v>0.16858237547892721</v>
          </cell>
        </row>
        <row r="1459">
          <cell r="Q1459">
            <v>6.2857142857142861E-2</v>
          </cell>
          <cell r="R1459">
            <v>0.99940828402366866</v>
          </cell>
          <cell r="S1459">
            <v>0</v>
          </cell>
          <cell r="T1459">
            <v>6.3157894736842107E-2</v>
          </cell>
          <cell r="U1459">
            <v>0.5</v>
          </cell>
          <cell r="V1459">
            <v>0</v>
          </cell>
        </row>
        <row r="1460">
          <cell r="Q1460">
            <v>0.19714285714285715</v>
          </cell>
          <cell r="R1460">
            <v>0.99940828402366866</v>
          </cell>
          <cell r="S1460">
            <v>0</v>
          </cell>
          <cell r="T1460">
            <v>0</v>
          </cell>
          <cell r="U1460">
            <v>0.25</v>
          </cell>
          <cell r="V1460">
            <v>0</v>
          </cell>
        </row>
        <row r="1461">
          <cell r="Q1461">
            <v>0.19714285714285715</v>
          </cell>
          <cell r="R1461">
            <v>0.99940828402366866</v>
          </cell>
          <cell r="S1461">
            <v>0</v>
          </cell>
          <cell r="T1461">
            <v>0</v>
          </cell>
          <cell r="U1461">
            <v>0.25</v>
          </cell>
          <cell r="V1461">
            <v>0</v>
          </cell>
        </row>
        <row r="1462">
          <cell r="Q1462">
            <v>7.1428571428571425E-2</v>
          </cell>
          <cell r="R1462">
            <v>0.99940828402366866</v>
          </cell>
          <cell r="S1462">
            <v>0</v>
          </cell>
          <cell r="T1462">
            <v>0</v>
          </cell>
          <cell r="U1462">
            <v>0.5</v>
          </cell>
          <cell r="V1462">
            <v>0</v>
          </cell>
        </row>
        <row r="1463">
          <cell r="Q1463">
            <v>7.1428571428571425E-2</v>
          </cell>
          <cell r="R1463">
            <v>0.99940828402366866</v>
          </cell>
          <cell r="S1463">
            <v>0</v>
          </cell>
          <cell r="T1463">
            <v>0</v>
          </cell>
          <cell r="U1463">
            <v>0.5</v>
          </cell>
          <cell r="V1463">
            <v>0</v>
          </cell>
        </row>
        <row r="1464">
          <cell r="Q1464">
            <v>7.1428571428571425E-2</v>
          </cell>
          <cell r="R1464">
            <v>0.99940828402366866</v>
          </cell>
          <cell r="S1464">
            <v>0</v>
          </cell>
          <cell r="T1464">
            <v>0</v>
          </cell>
          <cell r="U1464">
            <v>0.5</v>
          </cell>
          <cell r="V1464">
            <v>0</v>
          </cell>
        </row>
        <row r="1465">
          <cell r="Q1465">
            <v>7.1428571428571425E-2</v>
          </cell>
          <cell r="R1465">
            <v>0.99940828402366866</v>
          </cell>
          <cell r="S1465">
            <v>0</v>
          </cell>
          <cell r="T1465">
            <v>0</v>
          </cell>
          <cell r="U1465">
            <v>0.5</v>
          </cell>
          <cell r="V1465">
            <v>0</v>
          </cell>
        </row>
        <row r="1466">
          <cell r="Q1466">
            <v>7.1428571428571425E-2</v>
          </cell>
          <cell r="R1466">
            <v>0.99940828402366866</v>
          </cell>
          <cell r="S1466">
            <v>0</v>
          </cell>
          <cell r="T1466">
            <v>0</v>
          </cell>
          <cell r="U1466">
            <v>0.5</v>
          </cell>
          <cell r="V1466">
            <v>0</v>
          </cell>
        </row>
        <row r="1467">
          <cell r="Q1467">
            <v>7.1428571428571425E-2</v>
          </cell>
          <cell r="R1467">
            <v>0.99940828402366866</v>
          </cell>
          <cell r="S1467">
            <v>0</v>
          </cell>
          <cell r="T1467">
            <v>0</v>
          </cell>
          <cell r="U1467">
            <v>0.5</v>
          </cell>
          <cell r="V1467">
            <v>0</v>
          </cell>
        </row>
        <row r="1468">
          <cell r="Q1468">
            <v>7.1428571428571425E-2</v>
          </cell>
          <cell r="R1468">
            <v>0.99940828402366866</v>
          </cell>
          <cell r="S1468">
            <v>0</v>
          </cell>
          <cell r="T1468">
            <v>0</v>
          </cell>
          <cell r="U1468">
            <v>0.5</v>
          </cell>
          <cell r="V1468">
            <v>0</v>
          </cell>
        </row>
        <row r="1469">
          <cell r="Q1469">
            <v>0.19142857142857142</v>
          </cell>
          <cell r="R1469">
            <v>0.99940828402366866</v>
          </cell>
          <cell r="S1469">
            <v>0</v>
          </cell>
          <cell r="T1469">
            <v>0</v>
          </cell>
          <cell r="U1469">
            <v>0.25</v>
          </cell>
          <cell r="V1469">
            <v>7.6278035966861994E-3</v>
          </cell>
        </row>
        <row r="1470">
          <cell r="Q1470">
            <v>0.32</v>
          </cell>
          <cell r="R1470">
            <v>0.99940828402366866</v>
          </cell>
          <cell r="S1470">
            <v>0</v>
          </cell>
          <cell r="T1470">
            <v>0</v>
          </cell>
          <cell r="U1470">
            <v>0</v>
          </cell>
          <cell r="V1470">
            <v>0</v>
          </cell>
        </row>
        <row r="1471">
          <cell r="Q1471">
            <v>0.19428571428571428</v>
          </cell>
          <cell r="R1471">
            <v>0.99940828402366866</v>
          </cell>
          <cell r="S1471">
            <v>0</v>
          </cell>
          <cell r="T1471">
            <v>0</v>
          </cell>
          <cell r="U1471">
            <v>0.25</v>
          </cell>
          <cell r="V1471">
            <v>0</v>
          </cell>
        </row>
        <row r="1472">
          <cell r="Q1472">
            <v>0.19428571428571428</v>
          </cell>
          <cell r="R1472">
            <v>0.99940828402366866</v>
          </cell>
          <cell r="S1472">
            <v>0</v>
          </cell>
          <cell r="T1472">
            <v>0</v>
          </cell>
          <cell r="U1472">
            <v>0.25</v>
          </cell>
          <cell r="V1472">
            <v>0</v>
          </cell>
        </row>
        <row r="1473">
          <cell r="Q1473">
            <v>0.19428571428571428</v>
          </cell>
          <cell r="R1473">
            <v>0.99940828402366866</v>
          </cell>
          <cell r="S1473">
            <v>0</v>
          </cell>
          <cell r="T1473">
            <v>0</v>
          </cell>
          <cell r="U1473">
            <v>0.25</v>
          </cell>
          <cell r="V1473">
            <v>0</v>
          </cell>
        </row>
        <row r="1474">
          <cell r="Q1474">
            <v>0.19428571428571428</v>
          </cell>
          <cell r="R1474">
            <v>0.99940828402366866</v>
          </cell>
          <cell r="S1474">
            <v>0</v>
          </cell>
          <cell r="T1474">
            <v>0</v>
          </cell>
          <cell r="U1474">
            <v>0.25</v>
          </cell>
          <cell r="V1474">
            <v>0</v>
          </cell>
        </row>
        <row r="1475">
          <cell r="Q1475">
            <v>0.19428571428571428</v>
          </cell>
          <cell r="R1475">
            <v>0.99940828402366866</v>
          </cell>
          <cell r="S1475">
            <v>0</v>
          </cell>
          <cell r="T1475">
            <v>0</v>
          </cell>
          <cell r="U1475">
            <v>0.25</v>
          </cell>
          <cell r="V1475">
            <v>0</v>
          </cell>
        </row>
        <row r="1476">
          <cell r="Q1476">
            <v>6.8571428571428575E-2</v>
          </cell>
          <cell r="R1476">
            <v>0.99940828402366866</v>
          </cell>
          <cell r="S1476">
            <v>0</v>
          </cell>
          <cell r="T1476">
            <v>0</v>
          </cell>
          <cell r="U1476">
            <v>0.5</v>
          </cell>
          <cell r="V1476">
            <v>0</v>
          </cell>
        </row>
        <row r="1477">
          <cell r="Q1477">
            <v>6.8571428571428575E-2</v>
          </cell>
          <cell r="R1477">
            <v>0.99940828402366866</v>
          </cell>
          <cell r="S1477">
            <v>0</v>
          </cell>
          <cell r="T1477">
            <v>0</v>
          </cell>
          <cell r="U1477">
            <v>0.5</v>
          </cell>
          <cell r="V1477">
            <v>0</v>
          </cell>
        </row>
        <row r="1478">
          <cell r="Q1478">
            <v>6.5714285714285711E-2</v>
          </cell>
          <cell r="R1478">
            <v>0.99940828402366866</v>
          </cell>
          <cell r="S1478">
            <v>0</v>
          </cell>
          <cell r="T1478">
            <v>0</v>
          </cell>
          <cell r="U1478">
            <v>0.5</v>
          </cell>
          <cell r="V1478">
            <v>0</v>
          </cell>
        </row>
        <row r="1479">
          <cell r="Q1479">
            <v>6.5714285714285711E-2</v>
          </cell>
          <cell r="R1479">
            <v>0.99940828402366866</v>
          </cell>
          <cell r="S1479">
            <v>0</v>
          </cell>
          <cell r="T1479">
            <v>0</v>
          </cell>
          <cell r="U1479">
            <v>0.5</v>
          </cell>
          <cell r="V1479">
            <v>0</v>
          </cell>
        </row>
        <row r="1480">
          <cell r="Q1480">
            <v>0.14857142857142858</v>
          </cell>
          <cell r="R1480">
            <v>0.99940828402366866</v>
          </cell>
          <cell r="S1480">
            <v>1</v>
          </cell>
          <cell r="T1480">
            <v>0</v>
          </cell>
          <cell r="U1480">
            <v>0</v>
          </cell>
          <cell r="V1480">
            <v>0</v>
          </cell>
        </row>
        <row r="1481">
          <cell r="Q1481">
            <v>0.14857142857142858</v>
          </cell>
          <cell r="R1481">
            <v>0.99940828402366866</v>
          </cell>
          <cell r="S1481">
            <v>0</v>
          </cell>
          <cell r="T1481">
            <v>1</v>
          </cell>
          <cell r="U1481">
            <v>0</v>
          </cell>
          <cell r="V1481">
            <v>0</v>
          </cell>
        </row>
        <row r="1482">
          <cell r="Q1482">
            <v>0.31428571428571428</v>
          </cell>
          <cell r="R1482">
            <v>0.99940828402366866</v>
          </cell>
          <cell r="S1482">
            <v>0</v>
          </cell>
          <cell r="T1482">
            <v>0</v>
          </cell>
          <cell r="U1482">
            <v>0</v>
          </cell>
          <cell r="V1482">
            <v>0</v>
          </cell>
        </row>
        <row r="1483">
          <cell r="Q1483">
            <v>0.18857142857142858</v>
          </cell>
          <cell r="R1483">
            <v>0.99940828402366866</v>
          </cell>
          <cell r="S1483">
            <v>0</v>
          </cell>
          <cell r="T1483">
            <v>0</v>
          </cell>
          <cell r="U1483">
            <v>0.25</v>
          </cell>
          <cell r="V1483">
            <v>0</v>
          </cell>
        </row>
        <row r="1484">
          <cell r="Q1484">
            <v>0.18857142857142858</v>
          </cell>
          <cell r="R1484">
            <v>0.99940828402366866</v>
          </cell>
          <cell r="S1484">
            <v>0</v>
          </cell>
          <cell r="T1484">
            <v>0</v>
          </cell>
          <cell r="U1484">
            <v>0.25</v>
          </cell>
          <cell r="V1484">
            <v>0</v>
          </cell>
        </row>
        <row r="1485">
          <cell r="Q1485">
            <v>6.2857142857142861E-2</v>
          </cell>
          <cell r="R1485">
            <v>0.99940828402366866</v>
          </cell>
          <cell r="S1485">
            <v>0</v>
          </cell>
          <cell r="T1485">
            <v>0</v>
          </cell>
          <cell r="U1485">
            <v>0.5</v>
          </cell>
          <cell r="V1485">
            <v>0</v>
          </cell>
        </row>
        <row r="1486">
          <cell r="Q1486">
            <v>6.2857142857142861E-2</v>
          </cell>
          <cell r="R1486">
            <v>0.99940828402366866</v>
          </cell>
          <cell r="S1486">
            <v>0</v>
          </cell>
          <cell r="T1486">
            <v>0</v>
          </cell>
          <cell r="U1486">
            <v>0.5</v>
          </cell>
          <cell r="V1486">
            <v>0</v>
          </cell>
        </row>
        <row r="1487">
          <cell r="Q1487">
            <v>6.2857142857142861E-2</v>
          </cell>
          <cell r="R1487">
            <v>0.99940828402366866</v>
          </cell>
          <cell r="S1487">
            <v>0</v>
          </cell>
          <cell r="T1487">
            <v>0</v>
          </cell>
          <cell r="U1487">
            <v>0.5</v>
          </cell>
          <cell r="V1487">
            <v>0</v>
          </cell>
        </row>
        <row r="1488">
          <cell r="Q1488">
            <v>6.2857142857142861E-2</v>
          </cell>
          <cell r="R1488">
            <v>0.99940828402366866</v>
          </cell>
          <cell r="S1488">
            <v>0</v>
          </cell>
          <cell r="T1488">
            <v>0</v>
          </cell>
          <cell r="U1488">
            <v>0.5</v>
          </cell>
          <cell r="V1488">
            <v>0</v>
          </cell>
        </row>
        <row r="1489">
          <cell r="Q1489">
            <v>6.2857142857142861E-2</v>
          </cell>
          <cell r="R1489">
            <v>0.99940828402366866</v>
          </cell>
          <cell r="S1489">
            <v>0</v>
          </cell>
          <cell r="T1489">
            <v>0</v>
          </cell>
          <cell r="U1489">
            <v>0.5</v>
          </cell>
          <cell r="V1489">
            <v>0</v>
          </cell>
        </row>
        <row r="1490">
          <cell r="Q1490">
            <v>0.18571428571428572</v>
          </cell>
          <cell r="R1490">
            <v>0.99940828402366866</v>
          </cell>
          <cell r="S1490">
            <v>0</v>
          </cell>
          <cell r="T1490">
            <v>0</v>
          </cell>
          <cell r="U1490">
            <v>0.25</v>
          </cell>
          <cell r="V1490">
            <v>0</v>
          </cell>
        </row>
        <row r="1491">
          <cell r="Q1491">
            <v>0.18571428571428572</v>
          </cell>
          <cell r="R1491">
            <v>0.99940828402366866</v>
          </cell>
          <cell r="S1491">
            <v>0</v>
          </cell>
          <cell r="T1491">
            <v>0</v>
          </cell>
          <cell r="U1491">
            <v>0.25</v>
          </cell>
          <cell r="V1491">
            <v>0</v>
          </cell>
        </row>
        <row r="1492">
          <cell r="Q1492">
            <v>0.18571428571428572</v>
          </cell>
          <cell r="R1492">
            <v>0.99940828402366866</v>
          </cell>
          <cell r="S1492">
            <v>0</v>
          </cell>
          <cell r="T1492">
            <v>0</v>
          </cell>
          <cell r="U1492">
            <v>0.25</v>
          </cell>
          <cell r="V1492">
            <v>0</v>
          </cell>
        </row>
        <row r="1493">
          <cell r="Q1493">
            <v>0.18571428571428572</v>
          </cell>
          <cell r="R1493">
            <v>0.99940828402366866</v>
          </cell>
          <cell r="S1493">
            <v>0</v>
          </cell>
          <cell r="T1493">
            <v>0</v>
          </cell>
          <cell r="U1493">
            <v>0.25</v>
          </cell>
          <cell r="V1493">
            <v>0</v>
          </cell>
        </row>
        <row r="1494">
          <cell r="Q1494">
            <v>0.18571428571428572</v>
          </cell>
          <cell r="R1494">
            <v>0.99940828402366866</v>
          </cell>
          <cell r="S1494">
            <v>0</v>
          </cell>
          <cell r="T1494">
            <v>0</v>
          </cell>
          <cell r="U1494">
            <v>0.25</v>
          </cell>
          <cell r="V1494">
            <v>0</v>
          </cell>
        </row>
        <row r="1495">
          <cell r="Q1495">
            <v>0.06</v>
          </cell>
          <cell r="R1495">
            <v>0.99940828402366866</v>
          </cell>
          <cell r="S1495">
            <v>0</v>
          </cell>
          <cell r="T1495">
            <v>0</v>
          </cell>
          <cell r="U1495">
            <v>0.5</v>
          </cell>
          <cell r="V1495">
            <v>0</v>
          </cell>
        </row>
        <row r="1496">
          <cell r="Q1496">
            <v>0.06</v>
          </cell>
          <cell r="R1496">
            <v>0.99940828402366866</v>
          </cell>
          <cell r="S1496">
            <v>0</v>
          </cell>
          <cell r="T1496">
            <v>0</v>
          </cell>
          <cell r="U1496">
            <v>0.5</v>
          </cell>
          <cell r="V1496">
            <v>0</v>
          </cell>
        </row>
        <row r="1497">
          <cell r="Q1497">
            <v>0.06</v>
          </cell>
          <cell r="R1497">
            <v>0.99940828402366866</v>
          </cell>
          <cell r="S1497">
            <v>0</v>
          </cell>
          <cell r="T1497">
            <v>0</v>
          </cell>
          <cell r="U1497">
            <v>0.5</v>
          </cell>
          <cell r="V1497">
            <v>0</v>
          </cell>
        </row>
        <row r="1498">
          <cell r="Q1498">
            <v>0.06</v>
          </cell>
          <cell r="R1498">
            <v>0.99940828402366866</v>
          </cell>
          <cell r="S1498">
            <v>0</v>
          </cell>
          <cell r="T1498">
            <v>0</v>
          </cell>
          <cell r="U1498">
            <v>0.5</v>
          </cell>
          <cell r="V1498">
            <v>0</v>
          </cell>
        </row>
        <row r="1499">
          <cell r="Q1499">
            <v>0.06</v>
          </cell>
          <cell r="R1499">
            <v>0.99940828402366866</v>
          </cell>
          <cell r="S1499">
            <v>0</v>
          </cell>
          <cell r="T1499">
            <v>0</v>
          </cell>
          <cell r="U1499">
            <v>0.5</v>
          </cell>
          <cell r="V1499">
            <v>0</v>
          </cell>
        </row>
        <row r="1500">
          <cell r="Q1500">
            <v>0.18285714285714286</v>
          </cell>
          <cell r="R1500">
            <v>0.99940828402366866</v>
          </cell>
          <cell r="S1500">
            <v>0</v>
          </cell>
          <cell r="T1500">
            <v>0</v>
          </cell>
          <cell r="U1500">
            <v>0.25</v>
          </cell>
          <cell r="V1500">
            <v>0</v>
          </cell>
        </row>
        <row r="1501">
          <cell r="Q1501">
            <v>5.7142857142857141E-2</v>
          </cell>
          <cell r="R1501">
            <v>0.99940828402366866</v>
          </cell>
          <cell r="S1501">
            <v>0</v>
          </cell>
          <cell r="T1501">
            <v>0</v>
          </cell>
          <cell r="U1501">
            <v>0.5</v>
          </cell>
          <cell r="V1501">
            <v>0</v>
          </cell>
        </row>
        <row r="1502">
          <cell r="Q1502">
            <v>5.7142857142857141E-2</v>
          </cell>
          <cell r="R1502">
            <v>0.99940828402366866</v>
          </cell>
          <cell r="S1502">
            <v>0</v>
          </cell>
          <cell r="T1502">
            <v>0</v>
          </cell>
          <cell r="U1502">
            <v>0.5</v>
          </cell>
          <cell r="V1502">
            <v>0</v>
          </cell>
        </row>
        <row r="1503">
          <cell r="Q1503">
            <v>0.18</v>
          </cell>
          <cell r="R1503">
            <v>0.99940828402366866</v>
          </cell>
          <cell r="S1503">
            <v>0</v>
          </cell>
          <cell r="T1503">
            <v>0</v>
          </cell>
          <cell r="U1503">
            <v>0.25</v>
          </cell>
          <cell r="V1503">
            <v>0</v>
          </cell>
        </row>
        <row r="1504">
          <cell r="Q1504">
            <v>0.18</v>
          </cell>
          <cell r="R1504">
            <v>0.99940828402366866</v>
          </cell>
          <cell r="S1504">
            <v>0</v>
          </cell>
          <cell r="T1504">
            <v>0</v>
          </cell>
          <cell r="U1504">
            <v>0.25</v>
          </cell>
          <cell r="V1504">
            <v>0</v>
          </cell>
        </row>
        <row r="1505">
          <cell r="Q1505">
            <v>0.18</v>
          </cell>
          <cell r="R1505">
            <v>0.99940828402366866</v>
          </cell>
          <cell r="S1505">
            <v>0</v>
          </cell>
          <cell r="T1505">
            <v>0</v>
          </cell>
          <cell r="U1505">
            <v>0.25</v>
          </cell>
          <cell r="V1505">
            <v>0</v>
          </cell>
        </row>
        <row r="1506">
          <cell r="Q1506">
            <v>0.18</v>
          </cell>
          <cell r="R1506">
            <v>0.99940828402366866</v>
          </cell>
          <cell r="S1506">
            <v>0</v>
          </cell>
          <cell r="T1506">
            <v>0</v>
          </cell>
          <cell r="U1506">
            <v>0.25</v>
          </cell>
          <cell r="V1506">
            <v>0</v>
          </cell>
        </row>
        <row r="1507">
          <cell r="Q1507">
            <v>5.4285714285714284E-2</v>
          </cell>
          <cell r="R1507">
            <v>0.99940828402366866</v>
          </cell>
          <cell r="S1507">
            <v>0</v>
          </cell>
          <cell r="T1507">
            <v>0</v>
          </cell>
          <cell r="U1507">
            <v>0.5</v>
          </cell>
          <cell r="V1507">
            <v>0</v>
          </cell>
        </row>
        <row r="1508">
          <cell r="Q1508">
            <v>5.4285714285714284E-2</v>
          </cell>
          <cell r="R1508">
            <v>0.99940828402366866</v>
          </cell>
          <cell r="S1508">
            <v>0</v>
          </cell>
          <cell r="T1508">
            <v>0</v>
          </cell>
          <cell r="U1508">
            <v>0.5</v>
          </cell>
          <cell r="V1508">
            <v>0</v>
          </cell>
        </row>
        <row r="1509">
          <cell r="Q1509">
            <v>5.4285714285714284E-2</v>
          </cell>
          <cell r="R1509">
            <v>0.99940828402366866</v>
          </cell>
          <cell r="S1509">
            <v>0</v>
          </cell>
          <cell r="T1509">
            <v>0</v>
          </cell>
          <cell r="U1509">
            <v>0.5</v>
          </cell>
          <cell r="V1509">
            <v>0</v>
          </cell>
        </row>
        <row r="1510">
          <cell r="Q1510">
            <v>0.15714285714285714</v>
          </cell>
          <cell r="R1510">
            <v>0.99940828402366866</v>
          </cell>
          <cell r="S1510">
            <v>0</v>
          </cell>
          <cell r="T1510">
            <v>0.1273198100992663</v>
          </cell>
          <cell r="U1510">
            <v>0.25</v>
          </cell>
          <cell r="V1510">
            <v>0</v>
          </cell>
        </row>
        <row r="1511">
          <cell r="Q1511">
            <v>0.17714285714285713</v>
          </cell>
          <cell r="R1511">
            <v>0.99940828402366866</v>
          </cell>
          <cell r="S1511">
            <v>0</v>
          </cell>
          <cell r="T1511">
            <v>0</v>
          </cell>
          <cell r="U1511">
            <v>0.25</v>
          </cell>
          <cell r="V1511">
            <v>0</v>
          </cell>
        </row>
        <row r="1512">
          <cell r="Q1512">
            <v>0.17714285714285713</v>
          </cell>
          <cell r="R1512">
            <v>0.99940828402366866</v>
          </cell>
          <cell r="S1512">
            <v>0</v>
          </cell>
          <cell r="T1512">
            <v>0</v>
          </cell>
          <cell r="U1512">
            <v>0.25</v>
          </cell>
          <cell r="V1512">
            <v>0</v>
          </cell>
        </row>
        <row r="1513">
          <cell r="Q1513">
            <v>0.17714285714285713</v>
          </cell>
          <cell r="R1513">
            <v>0.99940828402366866</v>
          </cell>
          <cell r="S1513">
            <v>0</v>
          </cell>
          <cell r="T1513">
            <v>0</v>
          </cell>
          <cell r="U1513">
            <v>0.25</v>
          </cell>
          <cell r="V1513">
            <v>0</v>
          </cell>
        </row>
        <row r="1514">
          <cell r="Q1514">
            <v>0.17714285714285713</v>
          </cell>
          <cell r="R1514">
            <v>0.99940828402366866</v>
          </cell>
          <cell r="S1514">
            <v>0</v>
          </cell>
          <cell r="T1514">
            <v>0</v>
          </cell>
          <cell r="U1514">
            <v>0.25</v>
          </cell>
          <cell r="V1514">
            <v>0</v>
          </cell>
        </row>
        <row r="1515">
          <cell r="Q1515">
            <v>0.17714285714285713</v>
          </cell>
          <cell r="R1515">
            <v>0.99940828402366866</v>
          </cell>
          <cell r="S1515">
            <v>0</v>
          </cell>
          <cell r="T1515">
            <v>0</v>
          </cell>
          <cell r="U1515">
            <v>0.25</v>
          </cell>
          <cell r="V1515">
            <v>0</v>
          </cell>
        </row>
        <row r="1516">
          <cell r="Q1516">
            <v>0.17714285714285713</v>
          </cell>
          <cell r="R1516">
            <v>0.99940828402366866</v>
          </cell>
          <cell r="S1516">
            <v>0</v>
          </cell>
          <cell r="T1516">
            <v>0</v>
          </cell>
          <cell r="U1516">
            <v>0.25</v>
          </cell>
          <cell r="V1516">
            <v>0</v>
          </cell>
        </row>
        <row r="1517">
          <cell r="Q1517">
            <v>5.1428571428571428E-2</v>
          </cell>
          <cell r="R1517">
            <v>0.99940828402366866</v>
          </cell>
          <cell r="S1517">
            <v>0</v>
          </cell>
          <cell r="T1517">
            <v>0</v>
          </cell>
          <cell r="U1517">
            <v>0.5</v>
          </cell>
          <cell r="V1517">
            <v>0</v>
          </cell>
        </row>
        <row r="1518">
          <cell r="Q1518">
            <v>0.17428571428571429</v>
          </cell>
          <cell r="R1518">
            <v>0.99940828402366866</v>
          </cell>
          <cell r="S1518">
            <v>0</v>
          </cell>
          <cell r="T1518">
            <v>0</v>
          </cell>
          <cell r="U1518">
            <v>0.25</v>
          </cell>
          <cell r="V1518">
            <v>0</v>
          </cell>
        </row>
        <row r="1519">
          <cell r="Q1519">
            <v>4.8571428571428571E-2</v>
          </cell>
          <cell r="R1519">
            <v>0.99940828402366866</v>
          </cell>
          <cell r="S1519">
            <v>0</v>
          </cell>
          <cell r="T1519">
            <v>0</v>
          </cell>
          <cell r="U1519">
            <v>0.5</v>
          </cell>
          <cell r="V1519">
            <v>0</v>
          </cell>
        </row>
        <row r="1520">
          <cell r="Q1520">
            <v>4.8571428571428571E-2</v>
          </cell>
          <cell r="R1520">
            <v>0.99940828402366866</v>
          </cell>
          <cell r="S1520">
            <v>0</v>
          </cell>
          <cell r="T1520">
            <v>0</v>
          </cell>
          <cell r="U1520">
            <v>0.5</v>
          </cell>
          <cell r="V1520">
            <v>0</v>
          </cell>
        </row>
        <row r="1521">
          <cell r="Q1521">
            <v>0.16</v>
          </cell>
          <cell r="R1521">
            <v>0.99940828402366866</v>
          </cell>
          <cell r="S1521">
            <v>0</v>
          </cell>
          <cell r="T1521">
            <v>6.9565217391304349E-2</v>
          </cell>
          <cell r="U1521">
            <v>0.25</v>
          </cell>
          <cell r="V1521">
            <v>0</v>
          </cell>
        </row>
        <row r="1522">
          <cell r="Q1522">
            <v>0.17142857142857143</v>
          </cell>
          <cell r="R1522">
            <v>0.99940828402366866</v>
          </cell>
          <cell r="S1522">
            <v>0</v>
          </cell>
          <cell r="T1522">
            <v>0</v>
          </cell>
          <cell r="U1522">
            <v>0.25</v>
          </cell>
          <cell r="V1522">
            <v>0</v>
          </cell>
        </row>
        <row r="1523">
          <cell r="Q1523">
            <v>0.16285714285714287</v>
          </cell>
          <cell r="R1523">
            <v>0.99940828402366866</v>
          </cell>
          <cell r="S1523">
            <v>0</v>
          </cell>
          <cell r="T1523">
            <v>0</v>
          </cell>
          <cell r="U1523">
            <v>0.25</v>
          </cell>
          <cell r="V1523">
            <v>1.6281341582546401E-2</v>
          </cell>
        </row>
        <row r="1524">
          <cell r="Q1524">
            <v>4.5714285714285714E-2</v>
          </cell>
          <cell r="R1524">
            <v>0.99940828402366866</v>
          </cell>
          <cell r="S1524">
            <v>0</v>
          </cell>
          <cell r="T1524">
            <v>0</v>
          </cell>
          <cell r="U1524">
            <v>0.5</v>
          </cell>
          <cell r="V1524">
            <v>0</v>
          </cell>
        </row>
        <row r="1525">
          <cell r="Q1525">
            <v>4.5714285714285714E-2</v>
          </cell>
          <cell r="R1525">
            <v>0.99940828402366866</v>
          </cell>
          <cell r="S1525">
            <v>0</v>
          </cell>
          <cell r="T1525">
            <v>0</v>
          </cell>
          <cell r="U1525">
            <v>0.5</v>
          </cell>
          <cell r="V1525">
            <v>0</v>
          </cell>
        </row>
        <row r="1526">
          <cell r="Q1526">
            <v>4.5714285714285714E-2</v>
          </cell>
          <cell r="R1526">
            <v>0.99940828402366866</v>
          </cell>
          <cell r="S1526">
            <v>0</v>
          </cell>
          <cell r="T1526">
            <v>0</v>
          </cell>
          <cell r="U1526">
            <v>0.5</v>
          </cell>
          <cell r="V1526">
            <v>0</v>
          </cell>
        </row>
        <row r="1527">
          <cell r="Q1527">
            <v>4.5714285714285714E-2</v>
          </cell>
          <cell r="R1527">
            <v>0.99940828402366866</v>
          </cell>
          <cell r="S1527">
            <v>0</v>
          </cell>
          <cell r="T1527">
            <v>0</v>
          </cell>
          <cell r="U1527">
            <v>0.5</v>
          </cell>
          <cell r="V1527">
            <v>0</v>
          </cell>
        </row>
        <row r="1528">
          <cell r="Q1528">
            <v>4.5714285714285714E-2</v>
          </cell>
          <cell r="R1528">
            <v>0.99940828402366866</v>
          </cell>
          <cell r="S1528">
            <v>0</v>
          </cell>
          <cell r="T1528">
            <v>0</v>
          </cell>
          <cell r="U1528">
            <v>0.5</v>
          </cell>
          <cell r="V1528">
            <v>0</v>
          </cell>
        </row>
        <row r="1529">
          <cell r="Q1529">
            <v>4.5714285714285714E-2</v>
          </cell>
          <cell r="R1529">
            <v>0.99940828402366866</v>
          </cell>
          <cell r="S1529">
            <v>0</v>
          </cell>
          <cell r="T1529">
            <v>0</v>
          </cell>
          <cell r="U1529">
            <v>0.5</v>
          </cell>
          <cell r="V1529">
            <v>0</v>
          </cell>
        </row>
        <row r="1530">
          <cell r="Q1530">
            <v>4.5714285714285714E-2</v>
          </cell>
          <cell r="R1530">
            <v>0.99940828402366866</v>
          </cell>
          <cell r="S1530">
            <v>0</v>
          </cell>
          <cell r="T1530">
            <v>0</v>
          </cell>
          <cell r="U1530">
            <v>0.5</v>
          </cell>
          <cell r="V1530">
            <v>0</v>
          </cell>
        </row>
        <row r="1531">
          <cell r="Q1531">
            <v>4.5714285714285714E-2</v>
          </cell>
          <cell r="R1531">
            <v>0.99940828402366866</v>
          </cell>
          <cell r="S1531">
            <v>0</v>
          </cell>
          <cell r="T1531">
            <v>0</v>
          </cell>
          <cell r="U1531">
            <v>0.5</v>
          </cell>
          <cell r="V1531">
            <v>0</v>
          </cell>
        </row>
        <row r="1532">
          <cell r="Q1532">
            <v>0.04</v>
          </cell>
          <cell r="R1532">
            <v>0.99940828402366866</v>
          </cell>
          <cell r="S1532">
            <v>0</v>
          </cell>
          <cell r="T1532">
            <v>2.1711768407803651E-2</v>
          </cell>
          <cell r="U1532">
            <v>0.5</v>
          </cell>
          <cell r="V1532">
            <v>0</v>
          </cell>
        </row>
        <row r="1533">
          <cell r="Q1533">
            <v>0.16857142857142857</v>
          </cell>
          <cell r="R1533">
            <v>0.99940828402366866</v>
          </cell>
          <cell r="S1533">
            <v>0</v>
          </cell>
          <cell r="T1533">
            <v>0</v>
          </cell>
          <cell r="U1533">
            <v>0.25</v>
          </cell>
          <cell r="V1533">
            <v>0</v>
          </cell>
        </row>
        <row r="1534">
          <cell r="Q1534">
            <v>0.16857142857142857</v>
          </cell>
          <cell r="R1534">
            <v>0.99940828402366866</v>
          </cell>
          <cell r="S1534">
            <v>0</v>
          </cell>
          <cell r="T1534">
            <v>0</v>
          </cell>
          <cell r="U1534">
            <v>0.25</v>
          </cell>
          <cell r="V1534">
            <v>0</v>
          </cell>
        </row>
        <row r="1535">
          <cell r="Q1535">
            <v>0.16857142857142857</v>
          </cell>
          <cell r="R1535">
            <v>0.99940828402366866</v>
          </cell>
          <cell r="S1535">
            <v>0</v>
          </cell>
          <cell r="T1535">
            <v>0</v>
          </cell>
          <cell r="U1535">
            <v>0.25</v>
          </cell>
          <cell r="V1535">
            <v>0</v>
          </cell>
        </row>
        <row r="1536">
          <cell r="Q1536">
            <v>0.16857142857142857</v>
          </cell>
          <cell r="R1536">
            <v>0.99940828402366866</v>
          </cell>
          <cell r="S1536">
            <v>0</v>
          </cell>
          <cell r="T1536">
            <v>0</v>
          </cell>
          <cell r="U1536">
            <v>0.25</v>
          </cell>
          <cell r="V1536">
            <v>0</v>
          </cell>
        </row>
        <row r="1537">
          <cell r="Q1537">
            <v>4.2857142857142858E-2</v>
          </cell>
          <cell r="R1537">
            <v>0.99940828402366866</v>
          </cell>
          <cell r="S1537">
            <v>0</v>
          </cell>
          <cell r="T1537">
            <v>0</v>
          </cell>
          <cell r="U1537">
            <v>0.5</v>
          </cell>
          <cell r="V1537">
            <v>0</v>
          </cell>
        </row>
        <row r="1538">
          <cell r="Q1538">
            <v>0.1657142857142857</v>
          </cell>
          <cell r="R1538">
            <v>0.99940828402366866</v>
          </cell>
          <cell r="S1538">
            <v>0</v>
          </cell>
          <cell r="T1538">
            <v>0</v>
          </cell>
          <cell r="U1538">
            <v>0.25</v>
          </cell>
          <cell r="V1538">
            <v>0</v>
          </cell>
        </row>
        <row r="1539">
          <cell r="Q1539">
            <v>0.1657142857142857</v>
          </cell>
          <cell r="R1539">
            <v>0.99940828402366866</v>
          </cell>
          <cell r="S1539">
            <v>0</v>
          </cell>
          <cell r="T1539">
            <v>0</v>
          </cell>
          <cell r="U1539">
            <v>0.25</v>
          </cell>
          <cell r="V1539">
            <v>0</v>
          </cell>
        </row>
        <row r="1540">
          <cell r="Q1540">
            <v>0.04</v>
          </cell>
          <cell r="R1540">
            <v>0.99940828402366866</v>
          </cell>
          <cell r="S1540">
            <v>0</v>
          </cell>
          <cell r="T1540">
            <v>0</v>
          </cell>
          <cell r="U1540">
            <v>0.5</v>
          </cell>
          <cell r="V1540">
            <v>0</v>
          </cell>
        </row>
        <row r="1541">
          <cell r="Q1541">
            <v>0.16285714285714287</v>
          </cell>
          <cell r="R1541">
            <v>0.99940828402366866</v>
          </cell>
          <cell r="S1541">
            <v>0</v>
          </cell>
          <cell r="T1541">
            <v>0</v>
          </cell>
          <cell r="U1541">
            <v>0.25</v>
          </cell>
          <cell r="V1541">
            <v>0</v>
          </cell>
        </row>
        <row r="1542">
          <cell r="Q1542">
            <v>0.16285714285714287</v>
          </cell>
          <cell r="R1542">
            <v>0.99940828402366866</v>
          </cell>
          <cell r="S1542">
            <v>0</v>
          </cell>
          <cell r="T1542">
            <v>0</v>
          </cell>
          <cell r="U1542">
            <v>0.25</v>
          </cell>
          <cell r="V1542">
            <v>0</v>
          </cell>
        </row>
        <row r="1543">
          <cell r="Q1543">
            <v>0.16285714285714287</v>
          </cell>
          <cell r="R1543">
            <v>0.99940828402366866</v>
          </cell>
          <cell r="S1543">
            <v>0</v>
          </cell>
          <cell r="T1543">
            <v>0</v>
          </cell>
          <cell r="U1543">
            <v>0.25</v>
          </cell>
          <cell r="V1543">
            <v>0</v>
          </cell>
        </row>
        <row r="1544">
          <cell r="Q1544">
            <v>3.7142857142857144E-2</v>
          </cell>
          <cell r="R1544">
            <v>0.99940828402366866</v>
          </cell>
          <cell r="S1544">
            <v>0</v>
          </cell>
          <cell r="T1544">
            <v>0</v>
          </cell>
          <cell r="U1544">
            <v>0.5</v>
          </cell>
          <cell r="V1544">
            <v>0</v>
          </cell>
        </row>
        <row r="1545">
          <cell r="Q1545">
            <v>3.7142857142857144E-2</v>
          </cell>
          <cell r="R1545">
            <v>0.99940828402366866</v>
          </cell>
          <cell r="S1545">
            <v>0</v>
          </cell>
          <cell r="T1545">
            <v>0</v>
          </cell>
          <cell r="U1545">
            <v>0.5</v>
          </cell>
          <cell r="V1545">
            <v>0</v>
          </cell>
        </row>
        <row r="1546">
          <cell r="Q1546">
            <v>3.7142857142857144E-2</v>
          </cell>
          <cell r="R1546">
            <v>0.99940828402366866</v>
          </cell>
          <cell r="S1546">
            <v>0</v>
          </cell>
          <cell r="T1546">
            <v>0</v>
          </cell>
          <cell r="U1546">
            <v>0.5</v>
          </cell>
          <cell r="V1546">
            <v>0</v>
          </cell>
        </row>
        <row r="1547">
          <cell r="Q1547">
            <v>3.7142857142857144E-2</v>
          </cell>
          <cell r="R1547">
            <v>0.99940828402366866</v>
          </cell>
          <cell r="S1547">
            <v>0</v>
          </cell>
          <cell r="T1547">
            <v>0</v>
          </cell>
          <cell r="U1547">
            <v>0.5</v>
          </cell>
          <cell r="V1547">
            <v>0</v>
          </cell>
        </row>
        <row r="1548">
          <cell r="Q1548">
            <v>7.7142857142857138E-2</v>
          </cell>
          <cell r="R1548">
            <v>0.99940828402366866</v>
          </cell>
          <cell r="S1548">
            <v>0</v>
          </cell>
          <cell r="T1548">
            <v>0</v>
          </cell>
          <cell r="U1548">
            <v>0.25</v>
          </cell>
          <cell r="V1548">
            <v>0.16684753119913184</v>
          </cell>
        </row>
        <row r="1549">
          <cell r="Q1549">
            <v>0.16</v>
          </cell>
          <cell r="R1549">
            <v>0.99940828402366866</v>
          </cell>
          <cell r="S1549">
            <v>0</v>
          </cell>
          <cell r="T1549">
            <v>0</v>
          </cell>
          <cell r="U1549">
            <v>0.25</v>
          </cell>
          <cell r="V1549">
            <v>0</v>
          </cell>
        </row>
        <row r="1550">
          <cell r="Q1550">
            <v>3.4285714285714287E-2</v>
          </cell>
          <cell r="R1550">
            <v>0.99940828402366866</v>
          </cell>
          <cell r="S1550">
            <v>0</v>
          </cell>
          <cell r="T1550">
            <v>0</v>
          </cell>
          <cell r="U1550">
            <v>0.5</v>
          </cell>
          <cell r="V1550">
            <v>0</v>
          </cell>
        </row>
        <row r="1551">
          <cell r="Q1551">
            <v>3.4285714285714287E-2</v>
          </cell>
          <cell r="R1551">
            <v>0.99940828402366866</v>
          </cell>
          <cell r="S1551">
            <v>0</v>
          </cell>
          <cell r="T1551">
            <v>0</v>
          </cell>
          <cell r="U1551">
            <v>0.5</v>
          </cell>
          <cell r="V1551">
            <v>0</v>
          </cell>
        </row>
        <row r="1552">
          <cell r="Q1552">
            <v>3.4285714285714287E-2</v>
          </cell>
          <cell r="R1552">
            <v>0.99940828402366866</v>
          </cell>
          <cell r="S1552">
            <v>0</v>
          </cell>
          <cell r="T1552">
            <v>0</v>
          </cell>
          <cell r="U1552">
            <v>0.5</v>
          </cell>
          <cell r="V1552">
            <v>0</v>
          </cell>
        </row>
        <row r="1553">
          <cell r="Q1553">
            <v>3.4285714285714287E-2</v>
          </cell>
          <cell r="R1553">
            <v>0.99940828402366866</v>
          </cell>
          <cell r="S1553">
            <v>0</v>
          </cell>
          <cell r="T1553">
            <v>0</v>
          </cell>
          <cell r="U1553">
            <v>0.5</v>
          </cell>
          <cell r="V1553">
            <v>0</v>
          </cell>
        </row>
        <row r="1554">
          <cell r="Q1554">
            <v>3.4285714285714287E-2</v>
          </cell>
          <cell r="R1554">
            <v>0.99940828402366866</v>
          </cell>
          <cell r="S1554">
            <v>0</v>
          </cell>
          <cell r="T1554">
            <v>0</v>
          </cell>
          <cell r="U1554">
            <v>0.5</v>
          </cell>
          <cell r="V1554">
            <v>0</v>
          </cell>
        </row>
        <row r="1555">
          <cell r="Q1555">
            <v>0.13428571428571429</v>
          </cell>
          <cell r="R1555">
            <v>0.99940828402366866</v>
          </cell>
          <cell r="S1555">
            <v>0</v>
          </cell>
          <cell r="T1555">
            <v>0</v>
          </cell>
          <cell r="U1555">
            <v>0.25</v>
          </cell>
          <cell r="V1555">
            <v>4.7047753469771816E-2</v>
          </cell>
        </row>
        <row r="1556">
          <cell r="Q1556">
            <v>0.15714285714285714</v>
          </cell>
          <cell r="R1556">
            <v>0.99940828402366866</v>
          </cell>
          <cell r="S1556">
            <v>0</v>
          </cell>
          <cell r="T1556">
            <v>0</v>
          </cell>
          <cell r="U1556">
            <v>0.25</v>
          </cell>
          <cell r="V1556">
            <v>0</v>
          </cell>
        </row>
        <row r="1557">
          <cell r="Q1557">
            <v>3.1428571428571431E-2</v>
          </cell>
          <cell r="R1557">
            <v>0.99940828402366866</v>
          </cell>
          <cell r="S1557">
            <v>0</v>
          </cell>
          <cell r="T1557">
            <v>0</v>
          </cell>
          <cell r="U1557">
            <v>0.5</v>
          </cell>
          <cell r="V1557">
            <v>0</v>
          </cell>
        </row>
        <row r="1558">
          <cell r="Q1558">
            <v>2.8571428571428571E-2</v>
          </cell>
          <cell r="R1558">
            <v>0.99940828402366866</v>
          </cell>
          <cell r="S1558">
            <v>0</v>
          </cell>
          <cell r="T1558">
            <v>0</v>
          </cell>
          <cell r="U1558">
            <v>0.5</v>
          </cell>
          <cell r="V1558">
            <v>0</v>
          </cell>
        </row>
        <row r="1559">
          <cell r="Q1559">
            <v>7.7142857142857138E-2</v>
          </cell>
          <cell r="R1559">
            <v>0.99940828402366866</v>
          </cell>
          <cell r="S1559">
            <v>0</v>
          </cell>
          <cell r="T1559">
            <v>0</v>
          </cell>
          <cell r="U1559">
            <v>0.25</v>
          </cell>
          <cell r="V1559">
            <v>0.14939024390243902</v>
          </cell>
        </row>
        <row r="1560">
          <cell r="Q1560">
            <v>0.15142857142857144</v>
          </cell>
          <cell r="R1560">
            <v>0.99940828402366866</v>
          </cell>
          <cell r="S1560">
            <v>0</v>
          </cell>
          <cell r="T1560">
            <v>0</v>
          </cell>
          <cell r="U1560">
            <v>0.25</v>
          </cell>
          <cell r="V1560">
            <v>0</v>
          </cell>
        </row>
        <row r="1561">
          <cell r="Q1561">
            <v>0.15142857142857144</v>
          </cell>
          <cell r="R1561">
            <v>0.99940828402366866</v>
          </cell>
          <cell r="S1561">
            <v>0</v>
          </cell>
          <cell r="T1561">
            <v>0</v>
          </cell>
          <cell r="U1561">
            <v>0.25</v>
          </cell>
          <cell r="V1561">
            <v>0</v>
          </cell>
        </row>
        <row r="1562">
          <cell r="Q1562">
            <v>0.2742857142857143</v>
          </cell>
          <cell r="R1562">
            <v>0.99940828402366866</v>
          </cell>
          <cell r="S1562">
            <v>0</v>
          </cell>
          <cell r="T1562">
            <v>0</v>
          </cell>
          <cell r="U1562">
            <v>0</v>
          </cell>
          <cell r="V1562">
            <v>0</v>
          </cell>
        </row>
        <row r="1563">
          <cell r="Q1563">
            <v>0.2742857142857143</v>
          </cell>
          <cell r="R1563">
            <v>0.99940828402366866</v>
          </cell>
          <cell r="S1563">
            <v>0</v>
          </cell>
          <cell r="T1563">
            <v>0</v>
          </cell>
          <cell r="U1563">
            <v>0</v>
          </cell>
          <cell r="V1563">
            <v>0</v>
          </cell>
        </row>
        <row r="1564">
          <cell r="Q1564">
            <v>0.14857142857142858</v>
          </cell>
          <cell r="R1564">
            <v>0.99940828402366866</v>
          </cell>
          <cell r="S1564">
            <v>0</v>
          </cell>
          <cell r="T1564">
            <v>0</v>
          </cell>
          <cell r="U1564">
            <v>0.25</v>
          </cell>
          <cell r="V1564">
            <v>0</v>
          </cell>
        </row>
        <row r="1565">
          <cell r="Q1565">
            <v>0.14571428571428571</v>
          </cell>
          <cell r="R1565">
            <v>0.99940828402366866</v>
          </cell>
          <cell r="S1565">
            <v>0</v>
          </cell>
          <cell r="T1565">
            <v>0</v>
          </cell>
          <cell r="U1565">
            <v>0.25</v>
          </cell>
          <cell r="V1565">
            <v>0</v>
          </cell>
        </row>
        <row r="1566">
          <cell r="Q1566">
            <v>0.13714285714285715</v>
          </cell>
          <cell r="R1566">
            <v>0.99940828402366866</v>
          </cell>
          <cell r="S1566">
            <v>0</v>
          </cell>
          <cell r="T1566">
            <v>0</v>
          </cell>
          <cell r="U1566">
            <v>0.25</v>
          </cell>
          <cell r="V1566">
            <v>0</v>
          </cell>
        </row>
        <row r="1567">
          <cell r="Q1567">
            <v>0.13714285714285715</v>
          </cell>
          <cell r="R1567">
            <v>0.99940828402366866</v>
          </cell>
          <cell r="S1567">
            <v>0</v>
          </cell>
          <cell r="T1567">
            <v>0</v>
          </cell>
          <cell r="U1567">
            <v>0.25</v>
          </cell>
          <cell r="V1567">
            <v>0</v>
          </cell>
        </row>
        <row r="1568">
          <cell r="Q1568">
            <v>0.13714285714285715</v>
          </cell>
          <cell r="R1568">
            <v>0.99940828402366866</v>
          </cell>
          <cell r="S1568">
            <v>0</v>
          </cell>
          <cell r="T1568">
            <v>0</v>
          </cell>
          <cell r="U1568">
            <v>0.25</v>
          </cell>
          <cell r="V1568">
            <v>0</v>
          </cell>
        </row>
        <row r="1569">
          <cell r="Q1569">
            <v>0.13714285714285715</v>
          </cell>
          <cell r="R1569">
            <v>0.99940828402366866</v>
          </cell>
          <cell r="S1569">
            <v>0</v>
          </cell>
          <cell r="T1569">
            <v>0</v>
          </cell>
          <cell r="U1569">
            <v>0.25</v>
          </cell>
          <cell r="V1569">
            <v>0</v>
          </cell>
        </row>
        <row r="1570">
          <cell r="Q1570">
            <v>9.4285714285714292E-2</v>
          </cell>
          <cell r="R1570">
            <v>0.99940828402366866</v>
          </cell>
          <cell r="S1570">
            <v>0</v>
          </cell>
          <cell r="T1570">
            <v>1</v>
          </cell>
          <cell r="U1570">
            <v>0</v>
          </cell>
          <cell r="V1570">
            <v>0</v>
          </cell>
        </row>
        <row r="1571">
          <cell r="Q1571">
            <v>0.26</v>
          </cell>
          <cell r="R1571">
            <v>0.99940828402366866</v>
          </cell>
          <cell r="S1571">
            <v>0</v>
          </cell>
          <cell r="T1571">
            <v>0</v>
          </cell>
          <cell r="U1571">
            <v>0</v>
          </cell>
          <cell r="V1571">
            <v>0</v>
          </cell>
        </row>
        <row r="1572">
          <cell r="Q1572">
            <v>7.7142857142857138E-2</v>
          </cell>
          <cell r="R1572">
            <v>0.99940828402366866</v>
          </cell>
          <cell r="S1572">
            <v>0</v>
          </cell>
          <cell r="T1572">
            <v>0</v>
          </cell>
          <cell r="U1572">
            <v>0.25</v>
          </cell>
          <cell r="V1572">
            <v>0.11440677966101695</v>
          </cell>
        </row>
        <row r="1573">
          <cell r="Q1573">
            <v>0.13428571428571429</v>
          </cell>
          <cell r="R1573">
            <v>0.99940828402366866</v>
          </cell>
          <cell r="S1573">
            <v>0</v>
          </cell>
          <cell r="T1573">
            <v>0</v>
          </cell>
          <cell r="U1573">
            <v>0.25</v>
          </cell>
          <cell r="V1573">
            <v>0</v>
          </cell>
        </row>
        <row r="1574">
          <cell r="Q1574">
            <v>0.12571428571428572</v>
          </cell>
          <cell r="R1574">
            <v>0.99940828402366866</v>
          </cell>
          <cell r="S1574">
            <v>0</v>
          </cell>
          <cell r="T1574">
            <v>3.7332005973120953E-2</v>
          </cell>
          <cell r="U1574">
            <v>0.25</v>
          </cell>
          <cell r="V1574">
            <v>0</v>
          </cell>
        </row>
        <row r="1575">
          <cell r="Q1575">
            <v>0.12857142857142856</v>
          </cell>
          <cell r="R1575">
            <v>0.99940828402366866</v>
          </cell>
          <cell r="S1575">
            <v>0</v>
          </cell>
          <cell r="T1575">
            <v>0</v>
          </cell>
          <cell r="U1575">
            <v>0.25</v>
          </cell>
          <cell r="V1575">
            <v>1.6849199663016006E-3</v>
          </cell>
        </row>
        <row r="1576">
          <cell r="Q1576">
            <v>0.12857142857142856</v>
          </cell>
          <cell r="R1576">
            <v>0.99940828402366866</v>
          </cell>
          <cell r="S1576">
            <v>0</v>
          </cell>
          <cell r="T1576">
            <v>0</v>
          </cell>
          <cell r="U1576">
            <v>0.25</v>
          </cell>
          <cell r="V1576">
            <v>0</v>
          </cell>
        </row>
        <row r="1577">
          <cell r="Q1577">
            <v>0.12571428571428572</v>
          </cell>
          <cell r="R1577">
            <v>0.99940828402366866</v>
          </cell>
          <cell r="S1577">
            <v>0</v>
          </cell>
          <cell r="T1577">
            <v>0</v>
          </cell>
          <cell r="U1577">
            <v>0.25</v>
          </cell>
          <cell r="V1577">
            <v>0</v>
          </cell>
        </row>
        <row r="1578">
          <cell r="Q1578">
            <v>0.12571428571428572</v>
          </cell>
          <cell r="R1578">
            <v>0.99940828402366866</v>
          </cell>
          <cell r="S1578">
            <v>0</v>
          </cell>
          <cell r="T1578">
            <v>0</v>
          </cell>
          <cell r="U1578">
            <v>0.25</v>
          </cell>
          <cell r="V1578">
            <v>0</v>
          </cell>
        </row>
        <row r="1579">
          <cell r="Q1579">
            <v>0.12571428571428572</v>
          </cell>
          <cell r="R1579">
            <v>0.99940828402366866</v>
          </cell>
          <cell r="S1579">
            <v>0</v>
          </cell>
          <cell r="T1579">
            <v>0</v>
          </cell>
          <cell r="U1579">
            <v>0.25</v>
          </cell>
          <cell r="V1579">
            <v>0</v>
          </cell>
        </row>
        <row r="1580">
          <cell r="Q1580">
            <v>0.12571428571428572</v>
          </cell>
          <cell r="R1580">
            <v>0.99940828402366866</v>
          </cell>
          <cell r="S1580">
            <v>0</v>
          </cell>
          <cell r="T1580">
            <v>0</v>
          </cell>
          <cell r="U1580">
            <v>0.25</v>
          </cell>
          <cell r="V1580">
            <v>0</v>
          </cell>
        </row>
        <row r="1581">
          <cell r="Q1581">
            <v>0.12571428571428572</v>
          </cell>
          <cell r="R1581">
            <v>0.99940828402366866</v>
          </cell>
          <cell r="S1581">
            <v>0</v>
          </cell>
          <cell r="T1581">
            <v>0</v>
          </cell>
          <cell r="U1581">
            <v>0.25</v>
          </cell>
          <cell r="V1581">
            <v>0</v>
          </cell>
        </row>
        <row r="1582">
          <cell r="Q1582">
            <v>0.12571428571428572</v>
          </cell>
          <cell r="R1582">
            <v>0.99940828402366866</v>
          </cell>
          <cell r="S1582">
            <v>0</v>
          </cell>
          <cell r="T1582">
            <v>0</v>
          </cell>
          <cell r="U1582">
            <v>0.25</v>
          </cell>
          <cell r="V1582">
            <v>0</v>
          </cell>
        </row>
        <row r="1583">
          <cell r="Q1583">
            <v>0.12285714285714286</v>
          </cell>
          <cell r="R1583">
            <v>0.99940828402366866</v>
          </cell>
          <cell r="S1583">
            <v>0</v>
          </cell>
          <cell r="T1583">
            <v>0</v>
          </cell>
          <cell r="U1583">
            <v>0.25</v>
          </cell>
          <cell r="V1583">
            <v>0</v>
          </cell>
        </row>
        <row r="1584">
          <cell r="Q1584">
            <v>0.12285714285714286</v>
          </cell>
          <cell r="R1584">
            <v>0.99940828402366866</v>
          </cell>
          <cell r="S1584">
            <v>0</v>
          </cell>
          <cell r="T1584">
            <v>0</v>
          </cell>
          <cell r="U1584">
            <v>0.25</v>
          </cell>
          <cell r="V1584">
            <v>0</v>
          </cell>
        </row>
        <row r="1585">
          <cell r="Q1585">
            <v>0.24571428571428572</v>
          </cell>
          <cell r="R1585">
            <v>0.99940828402366866</v>
          </cell>
          <cell r="S1585">
            <v>0</v>
          </cell>
          <cell r="T1585">
            <v>0</v>
          </cell>
          <cell r="U1585">
            <v>0</v>
          </cell>
          <cell r="V1585">
            <v>0</v>
          </cell>
        </row>
        <row r="1586">
          <cell r="Q1586">
            <v>0.21714285714285714</v>
          </cell>
          <cell r="R1586">
            <v>0.99940828402366866</v>
          </cell>
          <cell r="S1586">
            <v>0</v>
          </cell>
          <cell r="T1586">
            <v>0.16661336744483529</v>
          </cell>
          <cell r="U1586">
            <v>0</v>
          </cell>
          <cell r="V1586">
            <v>0</v>
          </cell>
        </row>
        <row r="1587">
          <cell r="Q1587">
            <v>4.5714285714285714E-2</v>
          </cell>
          <cell r="R1587">
            <v>0.99940828402366866</v>
          </cell>
          <cell r="S1587">
            <v>0</v>
          </cell>
          <cell r="T1587">
            <v>0</v>
          </cell>
          <cell r="U1587">
            <v>0.25</v>
          </cell>
          <cell r="V1587">
            <v>0.14304123711340205</v>
          </cell>
        </row>
        <row r="1588">
          <cell r="Q1588">
            <v>0.11428571428571428</v>
          </cell>
          <cell r="R1588">
            <v>0.99940828402366866</v>
          </cell>
          <cell r="S1588">
            <v>0</v>
          </cell>
          <cell r="T1588">
            <v>0</v>
          </cell>
          <cell r="U1588">
            <v>0.25</v>
          </cell>
          <cell r="V1588">
            <v>0</v>
          </cell>
        </row>
        <row r="1589">
          <cell r="Q1589">
            <v>0.11428571428571428</v>
          </cell>
          <cell r="R1589">
            <v>0.99940828402366866</v>
          </cell>
          <cell r="S1589">
            <v>0</v>
          </cell>
          <cell r="T1589">
            <v>0</v>
          </cell>
          <cell r="U1589">
            <v>0.25</v>
          </cell>
          <cell r="V1589">
            <v>0</v>
          </cell>
        </row>
        <row r="1590">
          <cell r="Q1590">
            <v>0.23714285714285716</v>
          </cell>
          <cell r="R1590">
            <v>0.99940828402366866</v>
          </cell>
          <cell r="S1590">
            <v>0</v>
          </cell>
          <cell r="T1590">
            <v>0</v>
          </cell>
          <cell r="U1590">
            <v>0</v>
          </cell>
          <cell r="V1590">
            <v>0</v>
          </cell>
        </row>
        <row r="1591">
          <cell r="Q1591">
            <v>0.23714285714285716</v>
          </cell>
          <cell r="R1591">
            <v>0.99940828402366866</v>
          </cell>
          <cell r="S1591">
            <v>0</v>
          </cell>
          <cell r="T1591">
            <v>0</v>
          </cell>
          <cell r="U1591">
            <v>0</v>
          </cell>
          <cell r="V1591">
            <v>0</v>
          </cell>
        </row>
        <row r="1592">
          <cell r="Q1592">
            <v>0.11142857142857143</v>
          </cell>
          <cell r="R1592">
            <v>0.99940828402366866</v>
          </cell>
          <cell r="S1592">
            <v>0</v>
          </cell>
          <cell r="T1592">
            <v>0</v>
          </cell>
          <cell r="U1592">
            <v>0.25</v>
          </cell>
          <cell r="V1592">
            <v>0</v>
          </cell>
        </row>
        <row r="1593">
          <cell r="Q1593">
            <v>0.11142857142857143</v>
          </cell>
          <cell r="R1593">
            <v>0.99940828402366866</v>
          </cell>
          <cell r="S1593">
            <v>0</v>
          </cell>
          <cell r="T1593">
            <v>0</v>
          </cell>
          <cell r="U1593">
            <v>0.25</v>
          </cell>
          <cell r="V1593">
            <v>0</v>
          </cell>
        </row>
        <row r="1594">
          <cell r="Q1594">
            <v>0.11142857142857143</v>
          </cell>
          <cell r="R1594">
            <v>0.99940828402366866</v>
          </cell>
          <cell r="S1594">
            <v>0</v>
          </cell>
          <cell r="T1594">
            <v>0</v>
          </cell>
          <cell r="U1594">
            <v>0.25</v>
          </cell>
          <cell r="V1594">
            <v>0</v>
          </cell>
        </row>
        <row r="1595">
          <cell r="Q1595">
            <v>0.11142857142857143</v>
          </cell>
          <cell r="R1595">
            <v>0.99940828402366866</v>
          </cell>
          <cell r="S1595">
            <v>0</v>
          </cell>
          <cell r="T1595">
            <v>0</v>
          </cell>
          <cell r="U1595">
            <v>0.25</v>
          </cell>
          <cell r="V1595">
            <v>0</v>
          </cell>
        </row>
        <row r="1596">
          <cell r="Q1596">
            <v>0.11142857142857143</v>
          </cell>
          <cell r="R1596">
            <v>0.99940828402366866</v>
          </cell>
          <cell r="S1596">
            <v>0</v>
          </cell>
          <cell r="T1596">
            <v>0</v>
          </cell>
          <cell r="U1596">
            <v>0.25</v>
          </cell>
          <cell r="V1596">
            <v>0</v>
          </cell>
        </row>
        <row r="1597">
          <cell r="Q1597">
            <v>0.10857142857142857</v>
          </cell>
          <cell r="R1597">
            <v>0.99940828402366866</v>
          </cell>
          <cell r="S1597">
            <v>0</v>
          </cell>
          <cell r="T1597">
            <v>0</v>
          </cell>
          <cell r="U1597">
            <v>0.25</v>
          </cell>
          <cell r="V1597">
            <v>0</v>
          </cell>
        </row>
        <row r="1598">
          <cell r="Q1598">
            <v>0.10857142857142857</v>
          </cell>
          <cell r="R1598">
            <v>0.99940828402366866</v>
          </cell>
          <cell r="S1598">
            <v>0</v>
          </cell>
          <cell r="T1598">
            <v>0</v>
          </cell>
          <cell r="U1598">
            <v>0.25</v>
          </cell>
          <cell r="V1598">
            <v>0</v>
          </cell>
        </row>
        <row r="1599">
          <cell r="Q1599">
            <v>0.23142857142857143</v>
          </cell>
          <cell r="R1599">
            <v>0.99940828402366866</v>
          </cell>
          <cell r="S1599">
            <v>0</v>
          </cell>
          <cell r="T1599">
            <v>0</v>
          </cell>
          <cell r="U1599">
            <v>0</v>
          </cell>
          <cell r="V1599">
            <v>0</v>
          </cell>
        </row>
        <row r="1600">
          <cell r="Q1600">
            <v>0.23142857142857143</v>
          </cell>
          <cell r="R1600">
            <v>0.99940828402366866</v>
          </cell>
          <cell r="S1600">
            <v>0</v>
          </cell>
          <cell r="T1600">
            <v>0</v>
          </cell>
          <cell r="U1600">
            <v>0</v>
          </cell>
          <cell r="V1600">
            <v>0</v>
          </cell>
        </row>
        <row r="1601">
          <cell r="Q1601">
            <v>0.10571428571428572</v>
          </cell>
          <cell r="R1601">
            <v>0.99940828402366866</v>
          </cell>
          <cell r="S1601">
            <v>0</v>
          </cell>
          <cell r="T1601">
            <v>0</v>
          </cell>
          <cell r="U1601">
            <v>0.25</v>
          </cell>
          <cell r="V1601">
            <v>0</v>
          </cell>
        </row>
        <row r="1602">
          <cell r="Q1602">
            <v>0.10571428571428572</v>
          </cell>
          <cell r="R1602">
            <v>0.99940828402366866</v>
          </cell>
          <cell r="S1602">
            <v>0</v>
          </cell>
          <cell r="T1602">
            <v>0</v>
          </cell>
          <cell r="U1602">
            <v>0.25</v>
          </cell>
          <cell r="V1602">
            <v>0</v>
          </cell>
        </row>
        <row r="1603">
          <cell r="Q1603">
            <v>0.10571428571428572</v>
          </cell>
          <cell r="R1603">
            <v>0.99940828402366866</v>
          </cell>
          <cell r="S1603">
            <v>0</v>
          </cell>
          <cell r="T1603">
            <v>0</v>
          </cell>
          <cell r="U1603">
            <v>0.25</v>
          </cell>
          <cell r="V1603">
            <v>0</v>
          </cell>
        </row>
        <row r="1604">
          <cell r="Q1604">
            <v>0.2257142857142857</v>
          </cell>
          <cell r="R1604">
            <v>0.99940828402366866</v>
          </cell>
          <cell r="S1604">
            <v>0</v>
          </cell>
          <cell r="T1604">
            <v>1.6756756756756756E-2</v>
          </cell>
          <cell r="U1604">
            <v>0</v>
          </cell>
          <cell r="V1604">
            <v>0</v>
          </cell>
        </row>
        <row r="1605">
          <cell r="Q1605">
            <v>0.10285714285714286</v>
          </cell>
          <cell r="R1605">
            <v>0.99940828402366866</v>
          </cell>
          <cell r="S1605">
            <v>0</v>
          </cell>
          <cell r="T1605">
            <v>0</v>
          </cell>
          <cell r="U1605">
            <v>0.25</v>
          </cell>
          <cell r="V1605">
            <v>0</v>
          </cell>
        </row>
        <row r="1606">
          <cell r="Q1606">
            <v>0.1</v>
          </cell>
          <cell r="R1606">
            <v>0.99940828402366866</v>
          </cell>
          <cell r="S1606">
            <v>0</v>
          </cell>
          <cell r="T1606">
            <v>0</v>
          </cell>
          <cell r="U1606">
            <v>0.25</v>
          </cell>
          <cell r="V1606">
            <v>0</v>
          </cell>
        </row>
        <row r="1607">
          <cell r="Q1607">
            <v>7.7142857142857138E-2</v>
          </cell>
          <cell r="R1607">
            <v>0.99940828402366866</v>
          </cell>
          <cell r="S1607">
            <v>0</v>
          </cell>
          <cell r="T1607">
            <v>0</v>
          </cell>
          <cell r="U1607">
            <v>0.25</v>
          </cell>
          <cell r="V1607">
            <v>4.2466765140324964E-2</v>
          </cell>
        </row>
        <row r="1608">
          <cell r="Q1608">
            <v>9.7142857142857142E-2</v>
          </cell>
          <cell r="R1608">
            <v>0.99940828402366866</v>
          </cell>
          <cell r="S1608">
            <v>0</v>
          </cell>
          <cell r="T1608">
            <v>0</v>
          </cell>
          <cell r="U1608">
            <v>0.25</v>
          </cell>
          <cell r="V1608">
            <v>0</v>
          </cell>
        </row>
        <row r="1609">
          <cell r="Q1609">
            <v>0.20285714285714285</v>
          </cell>
          <cell r="R1609">
            <v>0.99940828402366866</v>
          </cell>
          <cell r="S1609">
            <v>0</v>
          </cell>
          <cell r="T1609">
            <v>0.11139240506329114</v>
          </cell>
          <cell r="U1609">
            <v>0</v>
          </cell>
          <cell r="V1609">
            <v>0</v>
          </cell>
        </row>
        <row r="1610">
          <cell r="Q1610">
            <v>5.4285714285714284E-2</v>
          </cell>
          <cell r="R1610">
            <v>0.99940828402366866</v>
          </cell>
          <cell r="S1610">
            <v>0</v>
          </cell>
          <cell r="T1610">
            <v>1</v>
          </cell>
          <cell r="U1610">
            <v>0</v>
          </cell>
          <cell r="V1610">
            <v>0</v>
          </cell>
        </row>
        <row r="1611">
          <cell r="Q1611">
            <v>8.2857142857142851E-2</v>
          </cell>
          <cell r="R1611">
            <v>0.99940828402366866</v>
          </cell>
          <cell r="S1611">
            <v>0</v>
          </cell>
          <cell r="T1611">
            <v>0</v>
          </cell>
          <cell r="U1611">
            <v>0.25</v>
          </cell>
          <cell r="V1611">
            <v>2.4421128798842257E-2</v>
          </cell>
        </row>
        <row r="1612">
          <cell r="Q1612">
            <v>9.4285714285714292E-2</v>
          </cell>
          <cell r="R1612">
            <v>0.99940828402366866</v>
          </cell>
          <cell r="S1612">
            <v>0</v>
          </cell>
          <cell r="T1612">
            <v>0</v>
          </cell>
          <cell r="U1612">
            <v>0.25</v>
          </cell>
          <cell r="V1612">
            <v>0</v>
          </cell>
        </row>
        <row r="1613">
          <cell r="Q1613">
            <v>9.4285714285714292E-2</v>
          </cell>
          <cell r="R1613">
            <v>0.99940828402366866</v>
          </cell>
          <cell r="S1613">
            <v>0</v>
          </cell>
          <cell r="T1613">
            <v>0</v>
          </cell>
          <cell r="U1613">
            <v>0.25</v>
          </cell>
          <cell r="V1613">
            <v>0</v>
          </cell>
        </row>
        <row r="1614">
          <cell r="Q1614">
            <v>9.4285714285714292E-2</v>
          </cell>
          <cell r="R1614">
            <v>0.99940828402366866</v>
          </cell>
          <cell r="S1614">
            <v>0</v>
          </cell>
          <cell r="T1614">
            <v>0</v>
          </cell>
          <cell r="U1614">
            <v>0.25</v>
          </cell>
          <cell r="V1614">
            <v>0</v>
          </cell>
        </row>
        <row r="1615">
          <cell r="Q1615">
            <v>0.19428571428571428</v>
          </cell>
          <cell r="R1615">
            <v>0.99940828402366866</v>
          </cell>
          <cell r="S1615">
            <v>0</v>
          </cell>
          <cell r="T1615">
            <v>0.13483369846644094</v>
          </cell>
          <cell r="U1615">
            <v>0</v>
          </cell>
          <cell r="V1615">
            <v>0</v>
          </cell>
        </row>
        <row r="1616">
          <cell r="Q1616">
            <v>9.1428571428571428E-2</v>
          </cell>
          <cell r="R1616">
            <v>0.99940828402366866</v>
          </cell>
          <cell r="S1616">
            <v>0</v>
          </cell>
          <cell r="T1616">
            <v>0</v>
          </cell>
          <cell r="U1616">
            <v>0.25</v>
          </cell>
          <cell r="V1616">
            <v>0</v>
          </cell>
        </row>
        <row r="1617">
          <cell r="Q1617">
            <v>0.20857142857142857</v>
          </cell>
          <cell r="R1617">
            <v>0.99940828402366866</v>
          </cell>
          <cell r="S1617">
            <v>0</v>
          </cell>
          <cell r="T1617">
            <v>0</v>
          </cell>
          <cell r="U1617">
            <v>0</v>
          </cell>
          <cell r="V1617">
            <v>0</v>
          </cell>
        </row>
        <row r="1618">
          <cell r="Q1618">
            <v>7.7142857142857138E-2</v>
          </cell>
          <cell r="R1618">
            <v>0.99940828402366866</v>
          </cell>
          <cell r="S1618">
            <v>0</v>
          </cell>
          <cell r="T1618">
            <v>0</v>
          </cell>
          <cell r="U1618">
            <v>0.25</v>
          </cell>
          <cell r="V1618">
            <v>1.1574074074074073E-2</v>
          </cell>
        </row>
        <row r="1619">
          <cell r="Q1619">
            <v>7.4285714285714288E-2</v>
          </cell>
          <cell r="R1619">
            <v>0.99940828402366866</v>
          </cell>
          <cell r="S1619">
            <v>0</v>
          </cell>
          <cell r="T1619">
            <v>3.5454545454545454E-2</v>
          </cell>
          <cell r="U1619">
            <v>0.25</v>
          </cell>
          <cell r="V1619">
            <v>0</v>
          </cell>
        </row>
        <row r="1620">
          <cell r="Q1620">
            <v>0.08</v>
          </cell>
          <cell r="R1620">
            <v>0.99940828402366866</v>
          </cell>
          <cell r="S1620">
            <v>0</v>
          </cell>
          <cell r="T1620">
            <v>0</v>
          </cell>
          <cell r="U1620">
            <v>0.25</v>
          </cell>
          <cell r="V1620">
            <v>0</v>
          </cell>
        </row>
        <row r="1621">
          <cell r="Q1621">
            <v>0.08</v>
          </cell>
          <cell r="R1621">
            <v>0.99940828402366866</v>
          </cell>
          <cell r="S1621">
            <v>0</v>
          </cell>
          <cell r="T1621">
            <v>0</v>
          </cell>
          <cell r="U1621">
            <v>0.25</v>
          </cell>
          <cell r="V1621">
            <v>0</v>
          </cell>
        </row>
        <row r="1622">
          <cell r="Q1622">
            <v>0.08</v>
          </cell>
          <cell r="R1622">
            <v>0.99940828402366866</v>
          </cell>
          <cell r="S1622">
            <v>0</v>
          </cell>
          <cell r="T1622">
            <v>0</v>
          </cell>
          <cell r="U1622">
            <v>0.25</v>
          </cell>
          <cell r="V1622">
            <v>0</v>
          </cell>
        </row>
        <row r="1623">
          <cell r="Q1623">
            <v>0.08</v>
          </cell>
          <cell r="R1623">
            <v>0.99940828402366866</v>
          </cell>
          <cell r="S1623">
            <v>0</v>
          </cell>
          <cell r="T1623">
            <v>0</v>
          </cell>
          <cell r="U1623">
            <v>0.25</v>
          </cell>
          <cell r="V1623">
            <v>0</v>
          </cell>
        </row>
        <row r="1624">
          <cell r="Q1624">
            <v>7.7142857142857138E-2</v>
          </cell>
          <cell r="R1624">
            <v>0.99940828402366866</v>
          </cell>
          <cell r="S1624">
            <v>0</v>
          </cell>
          <cell r="T1624">
            <v>0</v>
          </cell>
          <cell r="U1624">
            <v>0.25</v>
          </cell>
          <cell r="V1624">
            <v>4.1417395306028535E-3</v>
          </cell>
        </row>
        <row r="1625">
          <cell r="Q1625">
            <v>3.7142857142857144E-2</v>
          </cell>
          <cell r="R1625">
            <v>0.99940828402366866</v>
          </cell>
          <cell r="S1625">
            <v>0</v>
          </cell>
          <cell r="T1625">
            <v>1</v>
          </cell>
          <cell r="U1625">
            <v>0</v>
          </cell>
          <cell r="V1625">
            <v>0</v>
          </cell>
        </row>
        <row r="1626">
          <cell r="Q1626">
            <v>0.2</v>
          </cell>
          <cell r="R1626">
            <v>0.99940828402366866</v>
          </cell>
          <cell r="S1626">
            <v>0</v>
          </cell>
          <cell r="T1626">
            <v>0</v>
          </cell>
          <cell r="U1626">
            <v>0</v>
          </cell>
          <cell r="V1626">
            <v>0</v>
          </cell>
        </row>
        <row r="1627">
          <cell r="Q1627">
            <v>7.4285714285714288E-2</v>
          </cell>
          <cell r="R1627">
            <v>0.99940828402366866</v>
          </cell>
          <cell r="S1627">
            <v>0</v>
          </cell>
          <cell r="T1627">
            <v>0</v>
          </cell>
          <cell r="U1627">
            <v>0.25</v>
          </cell>
          <cell r="V1627">
            <v>0</v>
          </cell>
        </row>
        <row r="1628">
          <cell r="Q1628">
            <v>7.1428571428571425E-2</v>
          </cell>
          <cell r="R1628">
            <v>0.99940828402366866</v>
          </cell>
          <cell r="S1628">
            <v>0</v>
          </cell>
          <cell r="T1628">
            <v>0</v>
          </cell>
          <cell r="U1628">
            <v>0.25</v>
          </cell>
          <cell r="V1628">
            <v>0</v>
          </cell>
        </row>
        <row r="1629">
          <cell r="Q1629">
            <v>4.8571428571428571E-2</v>
          </cell>
          <cell r="R1629">
            <v>0.99940828402366866</v>
          </cell>
          <cell r="S1629">
            <v>0</v>
          </cell>
          <cell r="T1629">
            <v>0</v>
          </cell>
          <cell r="U1629">
            <v>0.25</v>
          </cell>
          <cell r="V1629">
            <v>4.4931592039800995E-2</v>
          </cell>
        </row>
        <row r="1630">
          <cell r="Q1630">
            <v>0.19428571428571428</v>
          </cell>
          <cell r="R1630">
            <v>0.99940828402366866</v>
          </cell>
          <cell r="S1630">
            <v>0</v>
          </cell>
          <cell r="T1630">
            <v>0</v>
          </cell>
          <cell r="U1630">
            <v>0</v>
          </cell>
          <cell r="V1630">
            <v>0</v>
          </cell>
        </row>
        <row r="1631">
          <cell r="Q1631">
            <v>0.19428571428571428</v>
          </cell>
          <cell r="R1631">
            <v>0.99940828402366866</v>
          </cell>
          <cell r="S1631">
            <v>0</v>
          </cell>
          <cell r="T1631">
            <v>0</v>
          </cell>
          <cell r="U1631">
            <v>0</v>
          </cell>
          <cell r="V1631">
            <v>0</v>
          </cell>
        </row>
        <row r="1632">
          <cell r="Q1632">
            <v>6.8571428571428575E-2</v>
          </cell>
          <cell r="R1632">
            <v>0.99940828402366866</v>
          </cell>
          <cell r="S1632">
            <v>0</v>
          </cell>
          <cell r="T1632">
            <v>0</v>
          </cell>
          <cell r="U1632">
            <v>0.25</v>
          </cell>
          <cell r="V1632">
            <v>0</v>
          </cell>
        </row>
        <row r="1633">
          <cell r="Q1633">
            <v>6.5714285714285711E-2</v>
          </cell>
          <cell r="R1633">
            <v>0.99940828402366866</v>
          </cell>
          <cell r="S1633">
            <v>0</v>
          </cell>
          <cell r="T1633">
            <v>0</v>
          </cell>
          <cell r="U1633">
            <v>0.25</v>
          </cell>
          <cell r="V1633">
            <v>0</v>
          </cell>
        </row>
        <row r="1634">
          <cell r="Q1634">
            <v>6.2857142857142861E-2</v>
          </cell>
          <cell r="R1634">
            <v>0.99940828402366866</v>
          </cell>
          <cell r="S1634">
            <v>0</v>
          </cell>
          <cell r="T1634">
            <v>0</v>
          </cell>
          <cell r="U1634">
            <v>0.25</v>
          </cell>
          <cell r="V1634">
            <v>0</v>
          </cell>
        </row>
        <row r="1635">
          <cell r="Q1635">
            <v>6.2857142857142861E-2</v>
          </cell>
          <cell r="R1635">
            <v>0.99940828402366866</v>
          </cell>
          <cell r="S1635">
            <v>0</v>
          </cell>
          <cell r="T1635">
            <v>0</v>
          </cell>
          <cell r="U1635">
            <v>0.25</v>
          </cell>
          <cell r="V1635">
            <v>0</v>
          </cell>
        </row>
        <row r="1636">
          <cell r="Q1636">
            <v>0.18571428571428572</v>
          </cell>
          <cell r="R1636">
            <v>0.99940828402366866</v>
          </cell>
          <cell r="S1636">
            <v>0</v>
          </cell>
          <cell r="T1636">
            <v>0</v>
          </cell>
          <cell r="U1636">
            <v>0</v>
          </cell>
          <cell r="V1636">
            <v>0</v>
          </cell>
        </row>
        <row r="1637">
          <cell r="Q1637">
            <v>5.7142857142857141E-2</v>
          </cell>
          <cell r="R1637">
            <v>0.99940828402366866</v>
          </cell>
          <cell r="S1637">
            <v>0</v>
          </cell>
          <cell r="T1637">
            <v>2.0602218700475437E-2</v>
          </cell>
          <cell r="U1637">
            <v>0.25</v>
          </cell>
          <cell r="V1637">
            <v>0</v>
          </cell>
        </row>
        <row r="1638">
          <cell r="Q1638">
            <v>1.4285714285714285E-2</v>
          </cell>
          <cell r="R1638">
            <v>0.99940828402366866</v>
          </cell>
          <cell r="S1638">
            <v>0</v>
          </cell>
          <cell r="T1638">
            <v>1</v>
          </cell>
          <cell r="U1638">
            <v>0</v>
          </cell>
          <cell r="V1638">
            <v>0</v>
          </cell>
        </row>
        <row r="1639">
          <cell r="Q1639">
            <v>1.4285714285714285E-2</v>
          </cell>
          <cell r="R1639">
            <v>0.99940828402366866</v>
          </cell>
          <cell r="S1639">
            <v>0</v>
          </cell>
          <cell r="T1639">
            <v>1</v>
          </cell>
          <cell r="U1639">
            <v>0</v>
          </cell>
          <cell r="V1639">
            <v>0</v>
          </cell>
        </row>
        <row r="1640">
          <cell r="Q1640">
            <v>0.18</v>
          </cell>
          <cell r="R1640">
            <v>0.99940828402366866</v>
          </cell>
          <cell r="S1640">
            <v>0</v>
          </cell>
          <cell r="T1640">
            <v>0</v>
          </cell>
          <cell r="U1640">
            <v>0</v>
          </cell>
          <cell r="V1640">
            <v>0</v>
          </cell>
        </row>
        <row r="1641">
          <cell r="Q1641">
            <v>5.4285714285714284E-2</v>
          </cell>
          <cell r="R1641">
            <v>0.99940828402366866</v>
          </cell>
          <cell r="S1641">
            <v>0</v>
          </cell>
          <cell r="T1641">
            <v>0</v>
          </cell>
          <cell r="U1641">
            <v>0.25</v>
          </cell>
          <cell r="V1641">
            <v>0</v>
          </cell>
        </row>
        <row r="1642">
          <cell r="Q1642">
            <v>5.4285714285714284E-2</v>
          </cell>
          <cell r="R1642">
            <v>0.99940828402366866</v>
          </cell>
          <cell r="S1642">
            <v>0</v>
          </cell>
          <cell r="T1642">
            <v>0</v>
          </cell>
          <cell r="U1642">
            <v>0.25</v>
          </cell>
          <cell r="V1642">
            <v>0</v>
          </cell>
        </row>
        <row r="1643">
          <cell r="Q1643">
            <v>5.4285714285714284E-2</v>
          </cell>
          <cell r="R1643">
            <v>0.99940828402366866</v>
          </cell>
          <cell r="S1643">
            <v>0</v>
          </cell>
          <cell r="T1643">
            <v>0</v>
          </cell>
          <cell r="U1643">
            <v>0.25</v>
          </cell>
          <cell r="V1643">
            <v>0</v>
          </cell>
        </row>
        <row r="1644">
          <cell r="Q1644">
            <v>5.4285714285714284E-2</v>
          </cell>
          <cell r="R1644">
            <v>0.99940828402366866</v>
          </cell>
          <cell r="S1644">
            <v>0</v>
          </cell>
          <cell r="T1644">
            <v>0</v>
          </cell>
          <cell r="U1644">
            <v>0.25</v>
          </cell>
          <cell r="V1644">
            <v>0</v>
          </cell>
        </row>
        <row r="1645">
          <cell r="Q1645">
            <v>0.16857142857142857</v>
          </cell>
          <cell r="R1645">
            <v>0.99940828402366866</v>
          </cell>
          <cell r="S1645">
            <v>0</v>
          </cell>
          <cell r="T1645">
            <v>0</v>
          </cell>
          <cell r="U1645">
            <v>0</v>
          </cell>
          <cell r="V1645">
            <v>0</v>
          </cell>
        </row>
        <row r="1646">
          <cell r="Q1646">
            <v>0.16285714285714287</v>
          </cell>
          <cell r="R1646">
            <v>0.99940828402366866</v>
          </cell>
          <cell r="S1646">
            <v>0</v>
          </cell>
          <cell r="T1646">
            <v>0</v>
          </cell>
          <cell r="U1646">
            <v>0</v>
          </cell>
          <cell r="V1646">
            <v>0</v>
          </cell>
        </row>
        <row r="1647">
          <cell r="Q1647">
            <v>3.1428571428571431E-2</v>
          </cell>
          <cell r="R1647">
            <v>0.99940828402366866</v>
          </cell>
          <cell r="S1647">
            <v>0</v>
          </cell>
          <cell r="T1647">
            <v>0</v>
          </cell>
          <cell r="U1647">
            <v>0.25</v>
          </cell>
          <cell r="V1647">
            <v>0</v>
          </cell>
        </row>
        <row r="1648">
          <cell r="Q1648">
            <v>5.4285714285714284E-2</v>
          </cell>
          <cell r="R1648">
            <v>0.99940828402366866</v>
          </cell>
          <cell r="S1648">
            <v>0</v>
          </cell>
          <cell r="T1648">
            <v>0.61269430051813467</v>
          </cell>
          <cell r="U1648">
            <v>0</v>
          </cell>
          <cell r="V1648">
            <v>0</v>
          </cell>
        </row>
        <row r="1649">
          <cell r="Q1649">
            <v>0.12285714285714286</v>
          </cell>
          <cell r="R1649">
            <v>0.99940828402366866</v>
          </cell>
          <cell r="S1649">
            <v>0</v>
          </cell>
          <cell r="T1649">
            <v>0.18198724760892668</v>
          </cell>
          <cell r="U1649">
            <v>0</v>
          </cell>
          <cell r="V1649">
            <v>0</v>
          </cell>
        </row>
        <row r="1650">
          <cell r="Q1650">
            <v>0.14857142857142858</v>
          </cell>
          <cell r="R1650">
            <v>0.99940828402366866</v>
          </cell>
          <cell r="S1650">
            <v>0</v>
          </cell>
          <cell r="T1650">
            <v>0</v>
          </cell>
          <cell r="U1650">
            <v>0</v>
          </cell>
          <cell r="V1650">
            <v>0</v>
          </cell>
        </row>
        <row r="1651">
          <cell r="Q1651">
            <v>0.14285714285714285</v>
          </cell>
          <cell r="R1651">
            <v>0.99940828402366866</v>
          </cell>
          <cell r="S1651">
            <v>0</v>
          </cell>
          <cell r="T1651">
            <v>0</v>
          </cell>
          <cell r="U1651">
            <v>0</v>
          </cell>
          <cell r="V1651">
            <v>0</v>
          </cell>
        </row>
        <row r="1652">
          <cell r="Q1652">
            <v>1.7142857142857144E-2</v>
          </cell>
          <cell r="R1652">
            <v>0.99940828402366866</v>
          </cell>
          <cell r="S1652">
            <v>0</v>
          </cell>
          <cell r="T1652">
            <v>0</v>
          </cell>
          <cell r="U1652">
            <v>0.25</v>
          </cell>
          <cell r="V1652">
            <v>0</v>
          </cell>
        </row>
        <row r="1653">
          <cell r="Q1653">
            <v>0.14000000000000001</v>
          </cell>
          <cell r="R1653">
            <v>0.99940828402366866</v>
          </cell>
          <cell r="S1653">
            <v>0</v>
          </cell>
          <cell r="T1653">
            <v>0</v>
          </cell>
          <cell r="U1653">
            <v>0</v>
          </cell>
          <cell r="V1653">
            <v>0</v>
          </cell>
        </row>
        <row r="1654">
          <cell r="Q1654">
            <v>0.13714285714285715</v>
          </cell>
          <cell r="R1654">
            <v>0.99940828402366866</v>
          </cell>
          <cell r="S1654">
            <v>0</v>
          </cell>
          <cell r="T1654">
            <v>0</v>
          </cell>
          <cell r="U1654">
            <v>0</v>
          </cell>
          <cell r="V1654">
            <v>0</v>
          </cell>
        </row>
        <row r="1655">
          <cell r="Q1655">
            <v>0.13428571428571429</v>
          </cell>
          <cell r="R1655">
            <v>0.99940828402366866</v>
          </cell>
          <cell r="S1655">
            <v>0</v>
          </cell>
          <cell r="T1655">
            <v>0</v>
          </cell>
          <cell r="U1655">
            <v>0</v>
          </cell>
          <cell r="V1655">
            <v>0</v>
          </cell>
        </row>
        <row r="1656">
          <cell r="Q1656">
            <v>0.13428571428571429</v>
          </cell>
          <cell r="R1656">
            <v>0.99940828402366866</v>
          </cell>
          <cell r="S1656">
            <v>0</v>
          </cell>
          <cell r="T1656">
            <v>0</v>
          </cell>
          <cell r="U1656">
            <v>0</v>
          </cell>
          <cell r="V1656">
            <v>0</v>
          </cell>
        </row>
        <row r="1657">
          <cell r="Q1657">
            <v>0.13428571428571429</v>
          </cell>
          <cell r="R1657">
            <v>0.99940828402366866</v>
          </cell>
          <cell r="S1657">
            <v>0</v>
          </cell>
          <cell r="T1657">
            <v>0</v>
          </cell>
          <cell r="U1657">
            <v>0</v>
          </cell>
          <cell r="V1657">
            <v>0</v>
          </cell>
        </row>
        <row r="1658">
          <cell r="Q1658">
            <v>0.13142857142857142</v>
          </cell>
          <cell r="R1658">
            <v>0.99940828402366866</v>
          </cell>
          <cell r="S1658">
            <v>0</v>
          </cell>
          <cell r="T1658">
            <v>0</v>
          </cell>
          <cell r="U1658">
            <v>0</v>
          </cell>
          <cell r="V1658">
            <v>0</v>
          </cell>
        </row>
        <row r="1659">
          <cell r="Q1659">
            <v>0.12</v>
          </cell>
          <cell r="R1659">
            <v>0.99940828402366866</v>
          </cell>
          <cell r="S1659">
            <v>0</v>
          </cell>
          <cell r="T1659">
            <v>0</v>
          </cell>
          <cell r="U1659">
            <v>0</v>
          </cell>
          <cell r="V1659">
            <v>0</v>
          </cell>
        </row>
        <row r="1660">
          <cell r="Q1660">
            <v>0.12</v>
          </cell>
          <cell r="R1660">
            <v>0.99940828402366866</v>
          </cell>
          <cell r="S1660">
            <v>0</v>
          </cell>
          <cell r="T1660">
            <v>0</v>
          </cell>
          <cell r="U1660">
            <v>0</v>
          </cell>
          <cell r="V1660">
            <v>0</v>
          </cell>
        </row>
        <row r="1661">
          <cell r="Q1661">
            <v>0.11714285714285715</v>
          </cell>
          <cell r="R1661">
            <v>0.99940828402366866</v>
          </cell>
          <cell r="S1661">
            <v>0</v>
          </cell>
          <cell r="T1661">
            <v>0</v>
          </cell>
          <cell r="U1661">
            <v>0</v>
          </cell>
          <cell r="V1661">
            <v>0</v>
          </cell>
        </row>
        <row r="1662">
          <cell r="Q1662">
            <v>0.10857142857142857</v>
          </cell>
          <cell r="R1662">
            <v>0.99940828402366866</v>
          </cell>
          <cell r="S1662">
            <v>0</v>
          </cell>
          <cell r="T1662">
            <v>0</v>
          </cell>
          <cell r="U1662">
            <v>0</v>
          </cell>
          <cell r="V1662">
            <v>0</v>
          </cell>
        </row>
        <row r="1663">
          <cell r="Q1663">
            <v>0.10857142857142857</v>
          </cell>
          <cell r="R1663">
            <v>0.99940828402366866</v>
          </cell>
          <cell r="S1663">
            <v>0</v>
          </cell>
          <cell r="T1663">
            <v>0</v>
          </cell>
          <cell r="U1663">
            <v>0</v>
          </cell>
          <cell r="V1663">
            <v>0</v>
          </cell>
        </row>
        <row r="1664">
          <cell r="Q1664">
            <v>0.10857142857142857</v>
          </cell>
          <cell r="R1664">
            <v>0.99940828402366866</v>
          </cell>
          <cell r="S1664">
            <v>0</v>
          </cell>
          <cell r="T1664">
            <v>0</v>
          </cell>
          <cell r="U1664">
            <v>0</v>
          </cell>
          <cell r="V1664">
            <v>0</v>
          </cell>
        </row>
        <row r="1665">
          <cell r="Q1665">
            <v>0.10857142857142857</v>
          </cell>
          <cell r="R1665">
            <v>0.99940828402366866</v>
          </cell>
          <cell r="S1665">
            <v>0</v>
          </cell>
          <cell r="T1665">
            <v>0</v>
          </cell>
          <cell r="U1665">
            <v>0</v>
          </cell>
          <cell r="V1665">
            <v>0</v>
          </cell>
        </row>
        <row r="1666">
          <cell r="Q1666">
            <v>0.10857142857142857</v>
          </cell>
          <cell r="R1666">
            <v>0.99940828402366866</v>
          </cell>
          <cell r="S1666">
            <v>0</v>
          </cell>
          <cell r="T1666">
            <v>0</v>
          </cell>
          <cell r="U1666">
            <v>0</v>
          </cell>
          <cell r="V1666">
            <v>0</v>
          </cell>
        </row>
        <row r="1667">
          <cell r="Q1667">
            <v>0.1</v>
          </cell>
          <cell r="R1667">
            <v>0.99940828402366866</v>
          </cell>
          <cell r="S1667">
            <v>0</v>
          </cell>
          <cell r="T1667">
            <v>0</v>
          </cell>
          <cell r="U1667">
            <v>0</v>
          </cell>
          <cell r="V1667">
            <v>0</v>
          </cell>
        </row>
        <row r="1668">
          <cell r="Q1668">
            <v>9.7142857142857142E-2</v>
          </cell>
          <cell r="R1668">
            <v>0.99940828402366866</v>
          </cell>
          <cell r="S1668">
            <v>0</v>
          </cell>
          <cell r="T1668">
            <v>0</v>
          </cell>
          <cell r="U1668">
            <v>0</v>
          </cell>
          <cell r="V1668">
            <v>0</v>
          </cell>
        </row>
        <row r="1669">
          <cell r="Q1669">
            <v>9.7142857142857142E-2</v>
          </cell>
          <cell r="R1669">
            <v>0.99940828402366866</v>
          </cell>
          <cell r="S1669">
            <v>0</v>
          </cell>
          <cell r="T1669">
            <v>0</v>
          </cell>
          <cell r="U1669">
            <v>0</v>
          </cell>
          <cell r="V1669">
            <v>0</v>
          </cell>
        </row>
        <row r="1670">
          <cell r="Q1670">
            <v>9.4285714285714292E-2</v>
          </cell>
          <cell r="R1670">
            <v>0.99940828402366866</v>
          </cell>
          <cell r="S1670">
            <v>0</v>
          </cell>
          <cell r="T1670">
            <v>0</v>
          </cell>
          <cell r="U1670">
            <v>0</v>
          </cell>
          <cell r="V1670">
            <v>0</v>
          </cell>
        </row>
        <row r="1671">
          <cell r="Q1671">
            <v>6.5714285714285711E-2</v>
          </cell>
          <cell r="R1671">
            <v>0.99940828402366866</v>
          </cell>
          <cell r="S1671">
            <v>0</v>
          </cell>
          <cell r="T1671">
            <v>0</v>
          </cell>
          <cell r="U1671">
            <v>0</v>
          </cell>
          <cell r="V1671">
            <v>4.0733197556008148E-2</v>
          </cell>
        </row>
        <row r="1672">
          <cell r="Q1672">
            <v>8.2857142857142851E-2</v>
          </cell>
          <cell r="R1672">
            <v>0.99940828402366866</v>
          </cell>
          <cell r="S1672">
            <v>0</v>
          </cell>
          <cell r="T1672">
            <v>1.8579011841567988E-2</v>
          </cell>
          <cell r="U1672">
            <v>0</v>
          </cell>
          <cell r="V1672">
            <v>0</v>
          </cell>
        </row>
        <row r="1673">
          <cell r="Q1673">
            <v>8.5714285714285715E-2</v>
          </cell>
          <cell r="R1673">
            <v>0.99940828402366866</v>
          </cell>
          <cell r="S1673">
            <v>0</v>
          </cell>
          <cell r="T1673">
            <v>0</v>
          </cell>
          <cell r="U1673">
            <v>0</v>
          </cell>
          <cell r="V1673">
            <v>0</v>
          </cell>
        </row>
        <row r="1674">
          <cell r="Q1674">
            <v>7.7142857142857138E-2</v>
          </cell>
          <cell r="R1674">
            <v>0.99940828402366866</v>
          </cell>
          <cell r="S1674">
            <v>0</v>
          </cell>
          <cell r="T1674">
            <v>0</v>
          </cell>
          <cell r="U1674">
            <v>0</v>
          </cell>
          <cell r="V1674">
            <v>0</v>
          </cell>
        </row>
        <row r="1675">
          <cell r="Q1675">
            <v>7.4285714285714288E-2</v>
          </cell>
          <cell r="R1675">
            <v>0.99940828402366866</v>
          </cell>
          <cell r="S1675">
            <v>0</v>
          </cell>
          <cell r="T1675">
            <v>0</v>
          </cell>
          <cell r="U1675">
            <v>0</v>
          </cell>
          <cell r="V1675">
            <v>0</v>
          </cell>
        </row>
        <row r="1676">
          <cell r="Q1676">
            <v>6.5714285714285711E-2</v>
          </cell>
          <cell r="R1676">
            <v>0.99940828402366866</v>
          </cell>
          <cell r="S1676">
            <v>0</v>
          </cell>
          <cell r="T1676">
            <v>0</v>
          </cell>
          <cell r="U1676">
            <v>0</v>
          </cell>
          <cell r="V1676">
            <v>0</v>
          </cell>
        </row>
        <row r="1677">
          <cell r="Q1677">
            <v>0.06</v>
          </cell>
          <cell r="R1677">
            <v>0.99940828402366866</v>
          </cell>
          <cell r="S1677">
            <v>0</v>
          </cell>
          <cell r="T1677">
            <v>0</v>
          </cell>
          <cell r="U1677">
            <v>0</v>
          </cell>
          <cell r="V1677">
            <v>0</v>
          </cell>
        </row>
        <row r="1678">
          <cell r="Q1678">
            <v>0.06</v>
          </cell>
          <cell r="R1678">
            <v>0.99940828402366866</v>
          </cell>
          <cell r="S1678">
            <v>0</v>
          </cell>
          <cell r="T1678">
            <v>0</v>
          </cell>
          <cell r="U1678">
            <v>0</v>
          </cell>
          <cell r="V1678">
            <v>0</v>
          </cell>
        </row>
        <row r="1679">
          <cell r="Q1679">
            <v>5.1428571428571428E-2</v>
          </cell>
          <cell r="R1679">
            <v>0.99940828402366866</v>
          </cell>
          <cell r="S1679">
            <v>0</v>
          </cell>
          <cell r="T1679">
            <v>0</v>
          </cell>
          <cell r="U1679">
            <v>0</v>
          </cell>
          <cell r="V1679">
            <v>0</v>
          </cell>
        </row>
        <row r="1680">
          <cell r="Q1680">
            <v>4.5714285714285714E-2</v>
          </cell>
          <cell r="R1680">
            <v>0.99940828402366866</v>
          </cell>
          <cell r="S1680">
            <v>0</v>
          </cell>
          <cell r="T1680">
            <v>0</v>
          </cell>
          <cell r="U1680">
            <v>0</v>
          </cell>
          <cell r="V1680">
            <v>0</v>
          </cell>
        </row>
        <row r="1681">
          <cell r="Q1681">
            <v>4.2857142857142858E-2</v>
          </cell>
          <cell r="R1681">
            <v>0.99940828402366866</v>
          </cell>
          <cell r="S1681">
            <v>0</v>
          </cell>
          <cell r="T1681">
            <v>0</v>
          </cell>
          <cell r="U1681">
            <v>0</v>
          </cell>
          <cell r="V1681">
            <v>0</v>
          </cell>
        </row>
        <row r="1682">
          <cell r="Q1682">
            <v>0.04</v>
          </cell>
          <cell r="R1682">
            <v>0.99940828402366866</v>
          </cell>
          <cell r="S1682">
            <v>0</v>
          </cell>
          <cell r="T1682">
            <v>0</v>
          </cell>
          <cell r="U1682">
            <v>0</v>
          </cell>
          <cell r="V1682">
            <v>0</v>
          </cell>
        </row>
        <row r="1683">
          <cell r="Q1683">
            <v>0.04</v>
          </cell>
          <cell r="R1683">
            <v>0.99940828402366866</v>
          </cell>
          <cell r="S1683">
            <v>0</v>
          </cell>
          <cell r="T1683">
            <v>0</v>
          </cell>
          <cell r="U1683">
            <v>0</v>
          </cell>
          <cell r="V1683">
            <v>0</v>
          </cell>
        </row>
        <row r="1684">
          <cell r="Q1684">
            <v>0.04</v>
          </cell>
          <cell r="R1684">
            <v>0.99940828402366866</v>
          </cell>
          <cell r="S1684">
            <v>0</v>
          </cell>
          <cell r="T1684">
            <v>0</v>
          </cell>
          <cell r="U1684">
            <v>0</v>
          </cell>
          <cell r="V1684">
            <v>0</v>
          </cell>
        </row>
        <row r="1685">
          <cell r="Q1685">
            <v>0.04</v>
          </cell>
          <cell r="R1685">
            <v>0.99940828402366866</v>
          </cell>
          <cell r="S1685">
            <v>0</v>
          </cell>
          <cell r="T1685">
            <v>0</v>
          </cell>
          <cell r="U1685">
            <v>0</v>
          </cell>
          <cell r="V1685">
            <v>0</v>
          </cell>
        </row>
        <row r="1686">
          <cell r="Q1686">
            <v>0.04</v>
          </cell>
          <cell r="R1686">
            <v>0.99940828402366866</v>
          </cell>
          <cell r="S1686">
            <v>0</v>
          </cell>
          <cell r="T1686">
            <v>0</v>
          </cell>
          <cell r="U1686">
            <v>0</v>
          </cell>
          <cell r="V1686">
            <v>0</v>
          </cell>
        </row>
        <row r="1687">
          <cell r="Q1687">
            <v>0.02</v>
          </cell>
          <cell r="R1687">
            <v>0.99940828402366866</v>
          </cell>
          <cell r="S1687">
            <v>0</v>
          </cell>
          <cell r="T1687">
            <v>0</v>
          </cell>
          <cell r="U1687">
            <v>0</v>
          </cell>
          <cell r="V1687">
            <v>0</v>
          </cell>
        </row>
        <row r="1688">
          <cell r="Q1688">
            <v>0.02</v>
          </cell>
          <cell r="R1688">
            <v>0.99940828402366866</v>
          </cell>
          <cell r="S1688">
            <v>0</v>
          </cell>
          <cell r="T1688">
            <v>0</v>
          </cell>
          <cell r="U1688">
            <v>0</v>
          </cell>
          <cell r="V1688">
            <v>0</v>
          </cell>
        </row>
        <row r="1689">
          <cell r="Q1689">
            <v>5.7142857142857143E-3</v>
          </cell>
          <cell r="R1689">
            <v>0.99940828402366866</v>
          </cell>
          <cell r="S1689">
            <v>0</v>
          </cell>
          <cell r="T1689">
            <v>0</v>
          </cell>
          <cell r="U1689">
            <v>0</v>
          </cell>
          <cell r="V1689">
            <v>0</v>
          </cell>
        </row>
        <row r="1690">
          <cell r="Q1690">
            <v>5.7142857142857143E-3</v>
          </cell>
          <cell r="R1690">
            <v>0.99940828402366866</v>
          </cell>
          <cell r="S1690">
            <v>0</v>
          </cell>
          <cell r="T1690">
            <v>0</v>
          </cell>
          <cell r="U1690">
            <v>0</v>
          </cell>
          <cell r="V1690">
            <v>0</v>
          </cell>
        </row>
        <row r="1691">
          <cell r="Q1691">
            <v>5.7142857142857141E-2</v>
          </cell>
          <cell r="R1691">
            <v>0.99940828402366866</v>
          </cell>
          <cell r="S1691">
            <v>0</v>
          </cell>
          <cell r="T1691">
            <v>0</v>
          </cell>
          <cell r="U1691">
            <v>-1</v>
          </cell>
          <cell r="V1691">
            <v>0</v>
          </cell>
        </row>
      </sheetData>
      <sheetData sheetId="1" refreshError="1"/>
      <sheetData sheetId="2"/>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ngerida"/>
      <sheetName val="Teede REK"/>
      <sheetName val="Hoolde tegija"/>
      <sheetName val="Olari 2014"/>
      <sheetName val="Kruusateed"/>
      <sheetName val="Muud tegurid"/>
      <sheetName val="sildade_ümbersõidu_pikkused"/>
      <sheetName val="THK ettepanek"/>
      <sheetName val="Sildade taastusremondi nimekiri"/>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ehtiv finantsplaan 14-20"/>
      <sheetName val="THK 16-21 ettepanek"/>
      <sheetName val="Lisa 3 puhas"/>
      <sheetName val="Ehitus"/>
      <sheetName val="Lisa 2 puhas"/>
      <sheetName val="ÜF REK"/>
    </sheetNames>
    <sheetDataSet>
      <sheetData sheetId="0" refreshError="1"/>
      <sheetData sheetId="1" refreshError="1"/>
      <sheetData sheetId="2" refreshError="1"/>
      <sheetData sheetId="3" refreshError="1"/>
      <sheetData sheetId="4" refreshError="1"/>
      <sheetData sheetId="5" refreshError="1">
        <row r="9">
          <cell r="H9">
            <v>12.6</v>
          </cell>
        </row>
        <row r="31">
          <cell r="B31">
            <v>11.61</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ehtiv finantsplaan 14-20"/>
      <sheetName val="THK 16-21 ettepanek"/>
      <sheetName val="Lisa 3 puhas"/>
      <sheetName val="Ehitus"/>
      <sheetName val="Lisa 2 puhas"/>
      <sheetName val="ÜF REK"/>
    </sheetNames>
    <sheetDataSet>
      <sheetData sheetId="0" refreshError="1"/>
      <sheetData sheetId="1" refreshError="1"/>
      <sheetData sheetId="2" refreshError="1"/>
      <sheetData sheetId="3" refreshError="1">
        <row r="44">
          <cell r="J44">
            <v>20</v>
          </cell>
          <cell r="K44">
            <v>24.1</v>
          </cell>
          <cell r="L44">
            <v>4.0999999999999996</v>
          </cell>
          <cell r="M44">
            <v>8100</v>
          </cell>
        </row>
      </sheetData>
      <sheetData sheetId="4" refreshError="1"/>
      <sheetData sheetId="5" refreshError="1">
        <row r="9">
          <cell r="H9">
            <v>12.6</v>
          </cell>
          <cell r="I9">
            <v>20</v>
          </cell>
          <cell r="J9">
            <v>7.4</v>
          </cell>
        </row>
      </sheetData>
    </sheetDataSet>
  </externalBook>
</externalLink>
</file>

<file path=xl/pivotCache/_rels/pivotCacheDefinition1.xml.rels><?xml version="1.0" encoding="UTF-8" standalone="yes"?>
<Relationships xmlns="http://schemas.openxmlformats.org/package/2006/relationships"><Relationship Id="rId2" Type="http://schemas.openxmlformats.org/officeDocument/2006/relationships/externalLinkPath" Target="file:///\\mts.local\dfs$\mnt_users\martin.lengi\Desktop\THK%202014-2020%20muutmine%202017\Kruusateede%20remondiobjektide%20pikk%20nimekiri%20(2018-2020).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Kersti Saare" refreshedDate="42923.624401388886" createdVersion="6" refreshedVersion="6" minRefreshableVersion="3" recordCount="129" xr:uid="{00000000-000A-0000-FFFF-FFFF00000000}">
  <cacheSource type="worksheet">
    <worksheetSource ref="B3:I132" sheet="Nimekiri" r:id="rId2"/>
  </cacheSource>
  <cacheFields count="8">
    <cacheField name="Regioon" numFmtId="0">
      <sharedItems count="4">
        <s v="Lõuna regioon"/>
        <s v="Lääne regioon"/>
        <s v="Põhja regioon"/>
        <s v="Ida regioon"/>
      </sharedItems>
    </cacheField>
    <cacheField name="Maakond" numFmtId="0">
      <sharedItems count="13">
        <s v="Valga maakond"/>
        <s v="Põlva maakond"/>
        <s v="Saare maakond"/>
        <s v="Lääne maakond"/>
        <s v="Pärnu maakond"/>
        <s v="Võru maakond"/>
        <s v="Hiiu maakond"/>
        <s v="Rapla maakond"/>
        <s v="Tartu maakond"/>
        <s v="Viljandi maakond"/>
        <s v="Ida-Viru maakond"/>
        <s v="Jõgeva maakond"/>
        <s v="Järva maakond"/>
      </sharedItems>
    </cacheField>
    <cacheField name="Tee nr" numFmtId="0">
      <sharedItems containsSemiMixedTypes="0" containsString="0" containsNumber="1" containsInteger="1" minValue="12109" maxValue="25197"/>
    </cacheField>
    <cacheField name="Tee nimetus" numFmtId="0">
      <sharedItems/>
    </cacheField>
    <cacheField name="Algus m" numFmtId="0">
      <sharedItems containsSemiMixedTypes="0" containsString="0" containsNumber="1" containsInteger="1" minValue="0" maxValue="26278"/>
    </cacheField>
    <cacheField name="Lõpp m" numFmtId="0">
      <sharedItems containsSemiMixedTypes="0" containsString="0" containsNumber="1" containsInteger="1" minValue="424" maxValue="32130"/>
    </cacheField>
    <cacheField name="Pikkus" numFmtId="0">
      <sharedItems containsString="0" containsBlank="1" containsNumber="1" containsInteger="1" minValue="19" maxValue="11257"/>
    </cacheField>
    <cacheField name="Prognoositav maksumus" numFmtId="0">
      <sharedItems containsString="0" containsBlank="1" containsNumber="1" minValue="570" maxValue="33771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29">
  <r>
    <x v="0"/>
    <x v="0"/>
    <n v="23183"/>
    <s v="Rulli - Jõgeveste"/>
    <n v="0"/>
    <n v="5738"/>
    <n v="5738"/>
    <n v="172140"/>
  </r>
  <r>
    <x v="0"/>
    <x v="1"/>
    <n v="18217"/>
    <s v="Suure-Veerksu - Väike-Veerksu"/>
    <n v="0"/>
    <n v="2749"/>
    <n v="2749"/>
    <n v="82470"/>
  </r>
  <r>
    <x v="1"/>
    <x v="2"/>
    <n v="21111"/>
    <s v="Tehumardi - Kogula"/>
    <n v="1370"/>
    <n v="7960"/>
    <n v="6590"/>
    <n v="197700"/>
  </r>
  <r>
    <x v="1"/>
    <x v="3"/>
    <n v="16191"/>
    <s v="Tuudi - Saastna"/>
    <n v="12970"/>
    <n v="15427"/>
    <n v="2457"/>
    <n v="73710"/>
  </r>
  <r>
    <x v="1"/>
    <x v="4"/>
    <n v="19109"/>
    <s v="Kärbu - Kõima"/>
    <n v="5660"/>
    <n v="9166"/>
    <n v="3506"/>
    <n v="105180"/>
  </r>
  <r>
    <x v="0"/>
    <x v="5"/>
    <n v="25107"/>
    <s v="Visela - Kassi"/>
    <n v="0"/>
    <n v="432"/>
    <n v="432"/>
    <n v="12960"/>
  </r>
  <r>
    <x v="0"/>
    <x v="5"/>
    <n v="25107"/>
    <s v="Visela - Kassi"/>
    <n v="1544"/>
    <n v="3855"/>
    <n v="2311"/>
    <n v="69330"/>
  </r>
  <r>
    <x v="1"/>
    <x v="4"/>
    <n v="19219"/>
    <s v="Are - Elbu"/>
    <n v="0"/>
    <n v="2176"/>
    <n v="2176"/>
    <n v="65280.000000000007"/>
  </r>
  <r>
    <x v="1"/>
    <x v="4"/>
    <n v="19303"/>
    <s v="Jäärja - Tali"/>
    <n v="0"/>
    <n v="9735"/>
    <n v="9735"/>
    <n v="292050"/>
  </r>
  <r>
    <x v="1"/>
    <x v="4"/>
    <n v="19305"/>
    <s v="Tihemetsa - Kärsu"/>
    <n v="1655"/>
    <n v="5192"/>
    <n v="3537"/>
    <n v="106110"/>
  </r>
  <r>
    <x v="1"/>
    <x v="4"/>
    <n v="19272"/>
    <s v="Tori - Massu"/>
    <n v="17714"/>
    <n v="23640"/>
    <n v="5926"/>
    <n v="177780"/>
  </r>
  <r>
    <x v="1"/>
    <x v="4"/>
    <n v="19305"/>
    <s v="Tihemetsa - Kärsu"/>
    <n v="1636"/>
    <n v="1655"/>
    <n v="19"/>
    <n v="570"/>
  </r>
  <r>
    <x v="1"/>
    <x v="6"/>
    <n v="12109"/>
    <s v="Palade - Tubala"/>
    <n v="3060"/>
    <n v="4861"/>
    <n v="1801"/>
    <n v="54030"/>
  </r>
  <r>
    <x v="0"/>
    <x v="1"/>
    <n v="18174"/>
    <s v="Saverna - Tillundi"/>
    <n v="828"/>
    <n v="7586"/>
    <n v="6758"/>
    <n v="202740"/>
  </r>
  <r>
    <x v="0"/>
    <x v="1"/>
    <n v="18186"/>
    <s v="Räpina - Rasina"/>
    <n v="5817"/>
    <n v="6778"/>
    <n v="961"/>
    <n v="28830"/>
  </r>
  <r>
    <x v="2"/>
    <x v="7"/>
    <n v="20156"/>
    <s v="Käru - Kädva"/>
    <n v="2078"/>
    <n v="2134"/>
    <n v="56"/>
    <n v="1680"/>
  </r>
  <r>
    <x v="0"/>
    <x v="5"/>
    <n v="18199"/>
    <s v="Viluste - Lindora"/>
    <n v="10956"/>
    <n v="13137"/>
    <n v="2181"/>
    <n v="65430"/>
  </r>
  <r>
    <x v="0"/>
    <x v="1"/>
    <n v="18186"/>
    <s v="Räpina - Rasina"/>
    <n v="4817"/>
    <n v="5817"/>
    <n v="1000"/>
    <n v="30000"/>
  </r>
  <r>
    <x v="0"/>
    <x v="1"/>
    <n v="18116"/>
    <s v="Erastvere - Sillaotsa"/>
    <n v="59"/>
    <n v="1623"/>
    <n v="1564"/>
    <n v="46920"/>
  </r>
  <r>
    <x v="0"/>
    <x v="1"/>
    <n v="18186"/>
    <s v="Räpina - Rasina"/>
    <n v="6778"/>
    <n v="18035"/>
    <n v="11257"/>
    <n v="337710"/>
  </r>
  <r>
    <x v="0"/>
    <x v="8"/>
    <n v="22267"/>
    <s v="Melliste - Heiti"/>
    <n v="1747"/>
    <n v="6278"/>
    <n v="4531"/>
    <n v="135930"/>
  </r>
  <r>
    <x v="0"/>
    <x v="1"/>
    <n v="18149"/>
    <s v="Adiste - Kooskora"/>
    <n v="25"/>
    <n v="3605"/>
    <n v="3580"/>
    <n v="107400"/>
  </r>
  <r>
    <x v="0"/>
    <x v="0"/>
    <n v="23188"/>
    <s v="Helme - Oru"/>
    <n v="2104"/>
    <n v="7949"/>
    <n v="5845"/>
    <n v="175350"/>
  </r>
  <r>
    <x v="1"/>
    <x v="6"/>
    <n v="12131"/>
    <s v="Harju - Leisu"/>
    <n v="3365"/>
    <n v="5880"/>
    <n v="2515"/>
    <n v="75450"/>
  </r>
  <r>
    <x v="0"/>
    <x v="5"/>
    <n v="18199"/>
    <s v="Viluste - Lindora"/>
    <n v="13137"/>
    <n v="15392"/>
    <n v="2255"/>
    <n v="67650"/>
  </r>
  <r>
    <x v="0"/>
    <x v="1"/>
    <n v="18116"/>
    <s v="Erastvere - Sillaotsa"/>
    <n v="5068"/>
    <n v="7959"/>
    <n v="2891"/>
    <n v="86730"/>
  </r>
  <r>
    <x v="0"/>
    <x v="0"/>
    <n v="23252"/>
    <s v="Keisripalu - Upruse"/>
    <n v="726"/>
    <n v="4078"/>
    <n v="3352"/>
    <n v="100560"/>
  </r>
  <r>
    <x v="1"/>
    <x v="3"/>
    <n v="16187"/>
    <s v="Kõmsi - Mõisaküla - Salevere"/>
    <n v="9555"/>
    <n v="14168"/>
    <n v="4613"/>
    <n v="138390"/>
  </r>
  <r>
    <x v="1"/>
    <x v="4"/>
    <n v="19216"/>
    <s v="Libatse - Langerma"/>
    <n v="731"/>
    <n v="2600"/>
    <n v="1869"/>
    <n v="56070"/>
  </r>
  <r>
    <x v="1"/>
    <x v="6"/>
    <n v="12135"/>
    <s v="Käina - Hüti"/>
    <n v="11225"/>
    <n v="12100"/>
    <n v="875"/>
    <n v="26250"/>
  </r>
  <r>
    <x v="0"/>
    <x v="0"/>
    <n v="23212"/>
    <s v="Koobassaare - Rebasemõisa"/>
    <n v="0"/>
    <n v="9968"/>
    <n v="9968"/>
    <n v="299040"/>
  </r>
  <r>
    <x v="2"/>
    <x v="7"/>
    <n v="20186"/>
    <s v="Sipa - Varbola"/>
    <n v="10500"/>
    <n v="14588"/>
    <n v="4088"/>
    <n v="122640"/>
  </r>
  <r>
    <x v="0"/>
    <x v="8"/>
    <n v="22262"/>
    <s v="Haaslava - Aadami - Uniküla"/>
    <n v="7976"/>
    <n v="11987"/>
    <n v="4011"/>
    <n v="120330"/>
  </r>
  <r>
    <x v="0"/>
    <x v="0"/>
    <n v="23254"/>
    <s v="Kalme - Roobe"/>
    <n v="18"/>
    <n v="3469"/>
    <n v="3451"/>
    <n v="103530"/>
  </r>
  <r>
    <x v="1"/>
    <x v="6"/>
    <n v="12130"/>
    <s v="Nurste - Kuriste"/>
    <n v="4000"/>
    <n v="7100"/>
    <n v="3100"/>
    <n v="93000"/>
  </r>
  <r>
    <x v="1"/>
    <x v="3"/>
    <n v="16176"/>
    <s v="Vanamõisa - Koonga - Ahaste"/>
    <n v="0"/>
    <n v="4428"/>
    <n v="4428"/>
    <n v="132840"/>
  </r>
  <r>
    <x v="2"/>
    <x v="7"/>
    <n v="20250"/>
    <s v="Hertu - Põrsaku - Keava"/>
    <n v="2795"/>
    <n v="4170"/>
    <n v="1375"/>
    <n v="41250"/>
  </r>
  <r>
    <x v="2"/>
    <x v="7"/>
    <n v="20242"/>
    <s v="Koikse - Jalase - Riidaku"/>
    <n v="6390"/>
    <n v="8898"/>
    <n v="2508"/>
    <n v="75240"/>
  </r>
  <r>
    <x v="1"/>
    <x v="3"/>
    <n v="16128"/>
    <s v="Tuksi - Spithami"/>
    <n v="1395"/>
    <n v="6334"/>
    <n v="4939"/>
    <n v="148170"/>
  </r>
  <r>
    <x v="2"/>
    <x v="7"/>
    <n v="20130"/>
    <s v="Vaopere - Tamsi - Kuimetsa"/>
    <n v="1934"/>
    <n v="5210"/>
    <n v="3276"/>
    <n v="98280"/>
  </r>
  <r>
    <x v="1"/>
    <x v="9"/>
    <n v="24150"/>
    <s v="Viljandi - Metsküla"/>
    <n v="2015"/>
    <n v="6308"/>
    <n v="4293"/>
    <n v="128790"/>
  </r>
  <r>
    <x v="2"/>
    <x v="7"/>
    <n v="20166"/>
    <s v="Lipa - Mõisamaa"/>
    <n v="11460"/>
    <n v="12750"/>
    <n v="1290"/>
    <n v="38700"/>
  </r>
  <r>
    <x v="2"/>
    <x v="7"/>
    <n v="20102"/>
    <s v="Kelba - Ohulepa"/>
    <n v="0"/>
    <n v="2367"/>
    <n v="2367"/>
    <n v="71010"/>
  </r>
  <r>
    <x v="2"/>
    <x v="7"/>
    <n v="20163"/>
    <s v="Vaimõisa - Nurme"/>
    <n v="98"/>
    <n v="7220"/>
    <n v="7122"/>
    <n v="213660"/>
  </r>
  <r>
    <x v="1"/>
    <x v="4"/>
    <n v="19310"/>
    <s v="Lodja - Saunametsa"/>
    <n v="703"/>
    <n v="3216"/>
    <n v="2513"/>
    <n v="75390"/>
  </r>
  <r>
    <x v="3"/>
    <x v="10"/>
    <n v="13207"/>
    <s v="Jõuga - Koldamäe"/>
    <n v="0"/>
    <n v="3627"/>
    <n v="3627"/>
    <n v="108810"/>
  </r>
  <r>
    <x v="2"/>
    <x v="7"/>
    <n v="20156"/>
    <s v="Käru - Kädva"/>
    <n v="2134"/>
    <n v="6225"/>
    <n v="4091"/>
    <n v="122730"/>
  </r>
  <r>
    <x v="1"/>
    <x v="9"/>
    <n v="24181"/>
    <s v="Abja-Paluoja - Sarja - Tõlla"/>
    <n v="1888"/>
    <n v="6933"/>
    <n v="5045"/>
    <n v="151350"/>
  </r>
  <r>
    <x v="0"/>
    <x v="11"/>
    <n v="14117"/>
    <s v="Torma - Kivijärve"/>
    <n v="8196"/>
    <n v="13587"/>
    <n v="5391"/>
    <n v="161730"/>
  </r>
  <r>
    <x v="0"/>
    <x v="8"/>
    <n v="22231"/>
    <s v="Kobratu - Ellia"/>
    <n v="44"/>
    <n v="2596"/>
    <n v="2552"/>
    <n v="76560"/>
  </r>
  <r>
    <x v="1"/>
    <x v="6"/>
    <n v="12135"/>
    <s v="Käina - Hüti"/>
    <n v="10315"/>
    <n v="11225"/>
    <n v="910"/>
    <n v="27300"/>
  </r>
  <r>
    <x v="1"/>
    <x v="9"/>
    <n v="24163"/>
    <s v="Mustla - Mõnnaste"/>
    <n v="120"/>
    <n v="5997"/>
    <n v="5877"/>
    <n v="176310"/>
  </r>
  <r>
    <x v="1"/>
    <x v="2"/>
    <n v="21146"/>
    <s v="Tagavere - Taaliku"/>
    <n v="147"/>
    <n v="10572"/>
    <n v="10425"/>
    <n v="312750"/>
  </r>
  <r>
    <x v="1"/>
    <x v="9"/>
    <n v="24160"/>
    <s v="Loodi - Nõmme"/>
    <n v="2596"/>
    <n v="4400"/>
    <n v="1804"/>
    <n v="54120"/>
  </r>
  <r>
    <x v="1"/>
    <x v="9"/>
    <n v="24160"/>
    <s v="Loodi - Nõmme"/>
    <n v="4400"/>
    <n v="5595"/>
    <n v="1195"/>
    <n v="35850"/>
  </r>
  <r>
    <x v="3"/>
    <x v="12"/>
    <n v="15150"/>
    <s v="Ambla - Rava"/>
    <n v="7179"/>
    <n v="9207"/>
    <n v="2028"/>
    <n v="60840"/>
  </r>
  <r>
    <x v="0"/>
    <x v="0"/>
    <n v="23227"/>
    <s v="Lemmiku - Tiidu - Metsapark"/>
    <n v="54"/>
    <n v="4369"/>
    <n v="4315"/>
    <n v="129450.00000000001"/>
  </r>
  <r>
    <x v="3"/>
    <x v="12"/>
    <n v="15211"/>
    <s v="Põikva - Pikkmetsa"/>
    <n v="1710"/>
    <n v="3608"/>
    <n v="1898"/>
    <n v="56940"/>
  </r>
  <r>
    <x v="1"/>
    <x v="9"/>
    <n v="24222"/>
    <s v="Ämmuste tee"/>
    <n v="2998"/>
    <n v="3801"/>
    <n v="803"/>
    <n v="24090"/>
  </r>
  <r>
    <x v="0"/>
    <x v="5"/>
    <n v="25132"/>
    <s v="Rõuge - Vastseliina"/>
    <n v="13340"/>
    <n v="14834"/>
    <n v="1494"/>
    <n v="44820"/>
  </r>
  <r>
    <x v="0"/>
    <x v="1"/>
    <n v="18237"/>
    <s v="Hanikase - Luuska"/>
    <n v="0"/>
    <n v="2475"/>
    <n v="2475"/>
    <n v="74250"/>
  </r>
  <r>
    <x v="0"/>
    <x v="5"/>
    <n v="25191"/>
    <s v="Tobrova - Helbi"/>
    <n v="29"/>
    <n v="2248"/>
    <n v="2219"/>
    <n v="66570"/>
  </r>
  <r>
    <x v="1"/>
    <x v="9"/>
    <n v="24163"/>
    <s v="Mustla - Mõnnaste"/>
    <n v="5997"/>
    <n v="9488"/>
    <n v="3491"/>
    <n v="104730"/>
  </r>
  <r>
    <x v="0"/>
    <x v="0"/>
    <n v="18105"/>
    <s v="Sillaotsa - Restu"/>
    <n v="16834"/>
    <n v="18199"/>
    <n v="1365"/>
    <n v="40950"/>
  </r>
  <r>
    <x v="0"/>
    <x v="0"/>
    <n v="23236"/>
    <s v="Männiku - Pühajärve"/>
    <n v="1220"/>
    <n v="3722"/>
    <n v="2502"/>
    <n v="75060"/>
  </r>
  <r>
    <x v="1"/>
    <x v="4"/>
    <n v="19119"/>
    <s v="Ridalepa - Lavassaare"/>
    <n v="0"/>
    <n v="6450"/>
    <n v="6450"/>
    <n v="193500"/>
  </r>
  <r>
    <x v="3"/>
    <x v="12"/>
    <n v="15154"/>
    <s v="Järva-Jaani - Kodasema"/>
    <n v="4361"/>
    <n v="5318"/>
    <n v="957"/>
    <n v="28710"/>
  </r>
  <r>
    <x v="0"/>
    <x v="1"/>
    <n v="18194"/>
    <s v="Võõpsu - Käre"/>
    <n v="306"/>
    <n v="5662"/>
    <n v="5356"/>
    <n v="160680"/>
  </r>
  <r>
    <x v="0"/>
    <x v="0"/>
    <n v="23202"/>
    <s v="Holdre - Läti piir"/>
    <n v="0"/>
    <n v="2983"/>
    <n v="2983"/>
    <n v="89490"/>
  </r>
  <r>
    <x v="1"/>
    <x v="2"/>
    <n v="21115"/>
    <s v="Tagamõisa - Undva"/>
    <n v="80"/>
    <n v="3750"/>
    <n v="3670"/>
    <n v="110100"/>
  </r>
  <r>
    <x v="3"/>
    <x v="12"/>
    <n v="15152"/>
    <s v="Kalitsa - Koeru - Udeva - Preedi"/>
    <n v="17111"/>
    <n v="21650"/>
    <n v="4539"/>
    <n v="136170"/>
  </r>
  <r>
    <x v="0"/>
    <x v="11"/>
    <n v="14178"/>
    <s v="Pikknurme - Härjanurme"/>
    <n v="57"/>
    <n v="5135"/>
    <n v="5078"/>
    <n v="152340"/>
  </r>
  <r>
    <x v="3"/>
    <x v="10"/>
    <n v="13151"/>
    <s v="Mäetaguse - Iisaku"/>
    <n v="0"/>
    <n v="10200"/>
    <n v="10200"/>
    <n v="306000"/>
  </r>
  <r>
    <x v="0"/>
    <x v="1"/>
    <n v="18116"/>
    <s v="Erastvere - Sillaotsa"/>
    <n v="1768"/>
    <n v="5068"/>
    <n v="3300"/>
    <n v="99000"/>
  </r>
  <r>
    <x v="3"/>
    <x v="12"/>
    <n v="15187"/>
    <s v="Ervita - Liusvere"/>
    <n v="52"/>
    <n v="1325"/>
    <n v="1273"/>
    <n v="38190"/>
  </r>
  <r>
    <x v="3"/>
    <x v="12"/>
    <n v="15211"/>
    <s v="Põikva - Pikkmetsa"/>
    <n v="500"/>
    <n v="1710"/>
    <n v="1210"/>
    <n v="36300"/>
  </r>
  <r>
    <x v="3"/>
    <x v="12"/>
    <n v="15154"/>
    <s v="Järva-Jaani - Kodasema"/>
    <n v="5318"/>
    <n v="8539"/>
    <n v="3221"/>
    <n v="96630"/>
  </r>
  <r>
    <x v="0"/>
    <x v="0"/>
    <n v="23228"/>
    <s v="Elia tee"/>
    <n v="54"/>
    <n v="2747"/>
    <n v="2693"/>
    <n v="80790"/>
  </r>
  <r>
    <x v="3"/>
    <x v="12"/>
    <n v="15211"/>
    <s v="Põikva - Pikkmetsa"/>
    <n v="0"/>
    <n v="500"/>
    <n v="500"/>
    <n v="15000"/>
  </r>
  <r>
    <x v="0"/>
    <x v="11"/>
    <n v="14131"/>
    <s v="Kivijärve - Varbevere"/>
    <n v="0"/>
    <n v="537"/>
    <n v="537"/>
    <n v="16110.000000000002"/>
  </r>
  <r>
    <x v="0"/>
    <x v="11"/>
    <n v="14214"/>
    <s v="Igavere tee"/>
    <n v="0"/>
    <n v="1738"/>
    <n v="1738"/>
    <n v="52140"/>
  </r>
  <r>
    <x v="0"/>
    <x v="1"/>
    <n v="18137"/>
    <s v="Kurvitsa - Hutita"/>
    <n v="4363"/>
    <n v="6979"/>
    <n v="2616"/>
    <n v="78480"/>
  </r>
  <r>
    <x v="1"/>
    <x v="9"/>
    <n v="24150"/>
    <s v="Viljandi - Metsküla"/>
    <n v="6308"/>
    <n v="10240"/>
    <n v="3932"/>
    <n v="117960"/>
  </r>
  <r>
    <x v="0"/>
    <x v="11"/>
    <n v="14177"/>
    <s v="Neanurme - Umbusi"/>
    <n v="1267"/>
    <n v="6944"/>
    <m/>
    <m/>
  </r>
  <r>
    <x v="3"/>
    <x v="10"/>
    <n v="13165"/>
    <s v="Oonurme - Peressaare"/>
    <n v="0"/>
    <n v="8270"/>
    <m/>
    <m/>
  </r>
  <r>
    <x v="3"/>
    <x v="12"/>
    <n v="15119"/>
    <s v="Jalalõpe - Rava"/>
    <n v="8125"/>
    <n v="9962"/>
    <m/>
    <m/>
  </r>
  <r>
    <x v="1"/>
    <x v="2"/>
    <n v="21180"/>
    <s v="Kotlandi - Koki"/>
    <n v="0"/>
    <n v="4971"/>
    <m/>
    <m/>
  </r>
  <r>
    <x v="3"/>
    <x v="12"/>
    <n v="15210"/>
    <s v="Aruküla - Põikva"/>
    <n v="0"/>
    <n v="2732"/>
    <m/>
    <m/>
  </r>
  <r>
    <x v="0"/>
    <x v="0"/>
    <n v="23238"/>
    <s v="Raiga - Räbi - Nõuni - Lutike"/>
    <n v="3199"/>
    <n v="10240"/>
    <m/>
    <m/>
  </r>
  <r>
    <x v="0"/>
    <x v="8"/>
    <n v="22253"/>
    <s v="Rõõmu - Viira"/>
    <n v="8956"/>
    <n v="12245"/>
    <m/>
    <m/>
  </r>
  <r>
    <x v="0"/>
    <x v="1"/>
    <n v="18137"/>
    <s v="Kurvitsa - Hutita"/>
    <n v="0"/>
    <n v="4241"/>
    <m/>
    <m/>
  </r>
  <r>
    <x v="1"/>
    <x v="4"/>
    <n v="19344"/>
    <s v="Surju - Saunametsa"/>
    <n v="4695"/>
    <n v="11330"/>
    <m/>
    <m/>
  </r>
  <r>
    <x v="0"/>
    <x v="0"/>
    <n v="23222"/>
    <s v="Vilaski - Tinuküla"/>
    <n v="17"/>
    <n v="4132"/>
    <m/>
    <m/>
  </r>
  <r>
    <x v="0"/>
    <x v="8"/>
    <n v="22216"/>
    <s v="Võibla - Erala"/>
    <n v="282"/>
    <n v="2758"/>
    <m/>
    <m/>
  </r>
  <r>
    <x v="1"/>
    <x v="6"/>
    <n v="12135"/>
    <s v="Käina - Hüti"/>
    <n v="9500"/>
    <n v="10315"/>
    <m/>
    <m/>
  </r>
  <r>
    <x v="0"/>
    <x v="5"/>
    <n v="25149"/>
    <s v="Väimela - Kääpa"/>
    <n v="1141"/>
    <n v="7362"/>
    <m/>
    <m/>
  </r>
  <r>
    <x v="1"/>
    <x v="9"/>
    <n v="24126"/>
    <s v="Epra - Sürgavere - Klaassepa"/>
    <n v="4916"/>
    <n v="6971"/>
    <m/>
    <m/>
  </r>
  <r>
    <x v="1"/>
    <x v="4"/>
    <n v="19135"/>
    <s v="Tõhela - Alu - Murru"/>
    <n v="0"/>
    <n v="7360"/>
    <m/>
    <m/>
  </r>
  <r>
    <x v="0"/>
    <x v="0"/>
    <n v="23169"/>
    <s v="Nõuni - Lasteaed"/>
    <n v="130"/>
    <n v="3569"/>
    <m/>
    <m/>
  </r>
  <r>
    <x v="0"/>
    <x v="5"/>
    <n v="25132"/>
    <s v="Rõuge - Vastseliina"/>
    <n v="14834"/>
    <n v="16181"/>
    <m/>
    <m/>
  </r>
  <r>
    <x v="1"/>
    <x v="4"/>
    <n v="19217"/>
    <s v="Libatse - Enge"/>
    <n v="0"/>
    <n v="4685"/>
    <m/>
    <m/>
  </r>
  <r>
    <x v="0"/>
    <x v="5"/>
    <n v="25132"/>
    <s v="Rõuge - Vastseliina"/>
    <n v="12098"/>
    <n v="13340"/>
    <m/>
    <m/>
  </r>
  <r>
    <x v="0"/>
    <x v="1"/>
    <n v="18199"/>
    <s v="Viluste - Lindora"/>
    <n v="5068"/>
    <n v="10956"/>
    <m/>
    <m/>
  </r>
  <r>
    <x v="0"/>
    <x v="1"/>
    <n v="18199"/>
    <s v="Viluste - Lindora"/>
    <n v="15392"/>
    <n v="18000"/>
    <m/>
    <m/>
  </r>
  <r>
    <x v="3"/>
    <x v="12"/>
    <n v="15154"/>
    <s v="Järva-Jaani - Kodasema"/>
    <n v="8539"/>
    <n v="9160"/>
    <m/>
    <m/>
  </r>
  <r>
    <x v="0"/>
    <x v="1"/>
    <n v="18126"/>
    <s v="Suurküla - Parksepa"/>
    <n v="0"/>
    <n v="3599"/>
    <m/>
    <m/>
  </r>
  <r>
    <x v="0"/>
    <x v="5"/>
    <n v="25132"/>
    <s v="Rõuge - Vastseliina"/>
    <n v="16181"/>
    <n v="18994"/>
    <m/>
    <m/>
  </r>
  <r>
    <x v="0"/>
    <x v="8"/>
    <n v="22233"/>
    <s v="Nigula - Pataste"/>
    <n v="1255"/>
    <n v="6289"/>
    <m/>
    <m/>
  </r>
  <r>
    <x v="0"/>
    <x v="5"/>
    <n v="23201"/>
    <s v="Puurina - Lüllemäe - Litsmetsa"/>
    <n v="26278"/>
    <n v="32130"/>
    <m/>
    <m/>
  </r>
  <r>
    <x v="0"/>
    <x v="1"/>
    <n v="18199"/>
    <s v="Viluste - Lindora"/>
    <n v="19440"/>
    <n v="21154"/>
    <m/>
    <m/>
  </r>
  <r>
    <x v="0"/>
    <x v="11"/>
    <n v="14199"/>
    <s v="Kaarepere - Visusti"/>
    <n v="801"/>
    <n v="1000"/>
    <m/>
    <m/>
  </r>
  <r>
    <x v="0"/>
    <x v="0"/>
    <n v="25141"/>
    <s v="Kirikuküla - Koigu"/>
    <n v="5117"/>
    <n v="7790"/>
    <m/>
    <m/>
  </r>
  <r>
    <x v="0"/>
    <x v="11"/>
    <n v="14199"/>
    <s v="Kaarepere - Visusti"/>
    <n v="2000"/>
    <n v="6263"/>
    <m/>
    <m/>
  </r>
  <r>
    <x v="0"/>
    <x v="5"/>
    <n v="25191"/>
    <s v="Tobrova - Helbi"/>
    <n v="2248"/>
    <n v="3921"/>
    <m/>
    <m/>
  </r>
  <r>
    <x v="0"/>
    <x v="5"/>
    <n v="25197"/>
    <s v="Kuutsi - Peebu"/>
    <n v="0"/>
    <n v="2209"/>
    <m/>
    <m/>
  </r>
  <r>
    <x v="0"/>
    <x v="5"/>
    <n v="18199"/>
    <s v="Viluste - Lindora"/>
    <n v="21154"/>
    <n v="22825"/>
    <m/>
    <m/>
  </r>
  <r>
    <x v="0"/>
    <x v="1"/>
    <n v="18199"/>
    <s v="Viluste - Lindora"/>
    <n v="18740"/>
    <n v="19440"/>
    <m/>
    <m/>
  </r>
  <r>
    <x v="0"/>
    <x v="0"/>
    <n v="23111"/>
    <s v="Laanemetsa - Kirikuküla"/>
    <n v="0"/>
    <n v="839"/>
    <m/>
    <m/>
  </r>
  <r>
    <x v="0"/>
    <x v="0"/>
    <n v="23236"/>
    <s v="Männiku - Pühajärve"/>
    <n v="0"/>
    <n v="1141"/>
    <m/>
    <m/>
  </r>
  <r>
    <x v="0"/>
    <x v="5"/>
    <n v="25101"/>
    <s v="Visela - Kuldre"/>
    <n v="0"/>
    <n v="4193"/>
    <m/>
    <m/>
  </r>
  <r>
    <x v="0"/>
    <x v="11"/>
    <n v="14215"/>
    <s v="Lilu tee"/>
    <n v="46"/>
    <n v="424"/>
    <m/>
    <m/>
  </r>
  <r>
    <x v="0"/>
    <x v="11"/>
    <n v="14215"/>
    <s v="Lilu tee"/>
    <n v="424"/>
    <n v="2964"/>
    <m/>
    <m/>
  </r>
  <r>
    <x v="0"/>
    <x v="0"/>
    <n v="23144"/>
    <s v="Ametmäe - Punga - Rebaste"/>
    <n v="58"/>
    <n v="9003"/>
    <m/>
    <m/>
  </r>
  <r>
    <x v="0"/>
    <x v="11"/>
    <n v="14131"/>
    <s v="Kivijärve - Varbevere"/>
    <n v="537"/>
    <n v="7430"/>
    <m/>
    <m/>
  </r>
  <r>
    <x v="0"/>
    <x v="1"/>
    <n v="18199"/>
    <s v="Viluste - Lindora"/>
    <n v="2481"/>
    <n v="4233"/>
    <m/>
    <m/>
  </r>
  <r>
    <x v="0"/>
    <x v="0"/>
    <n v="23214"/>
    <s v="Kõpsi - Lepa"/>
    <n v="0"/>
    <n v="3767"/>
    <m/>
    <m/>
  </r>
  <r>
    <x v="0"/>
    <x v="5"/>
    <n v="25139"/>
    <s v="Palli - Ruusmäe"/>
    <n v="70"/>
    <n v="3500"/>
    <m/>
    <m/>
  </r>
  <r>
    <x v="0"/>
    <x v="5"/>
    <n v="25139"/>
    <s v="Palli - Ruusmäe"/>
    <n v="3500"/>
    <n v="5966"/>
    <m/>
    <m/>
  </r>
  <r>
    <x v="0"/>
    <x v="0"/>
    <n v="23230"/>
    <s v="Priipalu - Noorkõivu"/>
    <n v="0"/>
    <n v="2834"/>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C00-000000000000}" name="PivotTable-liigendtabel2" cacheId="0" applyNumberFormats="0" applyBorderFormats="0" applyFontFormats="0" applyPatternFormats="0" applyAlignmentFormats="0" applyWidthHeightFormats="1" dataCaption="Väärtused" updatedVersion="6" minRefreshableVersion="3" useAutoFormatting="1" itemPrintTitles="1" createdVersion="6" indent="0" outline="1" outlineData="1" multipleFieldFilters="0" rowHeaderCaption="Regioon">
  <location ref="L7:N12" firstHeaderRow="0" firstDataRow="1" firstDataCol="1"/>
  <pivotFields count="8">
    <pivotField axis="axisRow" subtotalTop="0" showAll="0">
      <items count="5">
        <item sd="0" x="3"/>
        <item sd="0" x="0"/>
        <item sd="0" x="1"/>
        <item sd="0" x="2"/>
        <item t="default"/>
      </items>
    </pivotField>
    <pivotField axis="axisRow" subtotalTop="0" showAll="0">
      <items count="14">
        <item x="6"/>
        <item x="10"/>
        <item x="11"/>
        <item x="12"/>
        <item x="3"/>
        <item x="1"/>
        <item x="4"/>
        <item x="7"/>
        <item x="2"/>
        <item x="8"/>
        <item x="0"/>
        <item x="9"/>
        <item x="5"/>
        <item t="default"/>
      </items>
    </pivotField>
    <pivotField subtotalTop="0" showAll="0"/>
    <pivotField subtotalTop="0" showAll="0"/>
    <pivotField subtotalTop="0" showAll="0"/>
    <pivotField subtotalTop="0" showAll="0"/>
    <pivotField dataField="1" subtotalTop="0" showAll="0"/>
    <pivotField dataField="1" subtotalTop="0" showAll="0"/>
  </pivotFields>
  <rowFields count="2">
    <field x="0"/>
    <field x="1"/>
  </rowFields>
  <rowItems count="5">
    <i>
      <x/>
    </i>
    <i>
      <x v="1"/>
    </i>
    <i>
      <x v="2"/>
    </i>
    <i>
      <x v="3"/>
    </i>
    <i t="grand">
      <x/>
    </i>
  </rowItems>
  <colFields count="1">
    <field x="-2"/>
  </colFields>
  <colItems count="2">
    <i>
      <x/>
    </i>
    <i i="1">
      <x v="1"/>
    </i>
  </colItems>
  <dataFields count="2">
    <dataField name="Pikkus m" fld="6" baseField="0" baseItem="0"/>
    <dataField name="Prognoositav maksumus kokku" fld="7" baseField="0" baseItem="0"/>
  </dataFields>
  <formats count="2">
    <format dxfId="10">
      <pivotArea dataOnly="0" labelOnly="1" outline="0" fieldPosition="0">
        <references count="1">
          <reference field="4294967294" count="1">
            <x v="1"/>
          </reference>
        </references>
      </pivotArea>
    </format>
    <format dxfId="9">
      <pivotArea dataOnly="0" labelOnly="1" outline="0" fieldPosition="0">
        <references count="1">
          <reference field="4294967294" count="1">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SubtotalsOnTopDefault="0"/>
    </ext>
  </extLst>
</pivotTableDefinition>
</file>

<file path=xl/theme/theme1.xml><?xml version="1.0" encoding="utf-8"?>
<a:theme xmlns:a="http://schemas.openxmlformats.org/drawingml/2006/main" name="Office Theme 2007 - 2010">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customProperty" Target="../customProperty12.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customProperty" Target="../customProperty15.bin"/><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customProperty" Target="../customProperty16.bin"/><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customProperty" Target="../customProperty17.bin"/><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8.bin"/><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customProperty" Target="../customProperty2.bin"/><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20.xml.rels><?xml version="1.0" encoding="UTF-8" standalone="yes"?>
<Relationships xmlns="http://schemas.openxmlformats.org/package/2006/relationships"><Relationship Id="rId2" Type="http://schemas.openxmlformats.org/officeDocument/2006/relationships/customProperty" Target="../customProperty19.bin"/><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customProperty" Target="../customProperty20.bin"/><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customProperty" Target="../customProperty21.bin"/><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customProperty" Target="../customProperty22.bin"/><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customProperty" Target="../customProperty23.bin"/><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customProperty" Target="../customProperty24.bin"/><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customProperty" Target="../customProperty25.bin"/><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customProperty" Target="../customProperty26.bin"/><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customProperty" Target="../customProperty4.bin"/><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ustomProperty" Target="../customProperty7.bin"/><Relationship Id="rId2" Type="http://schemas.openxmlformats.org/officeDocument/2006/relationships/printerSettings" Target="../printerSettings/printerSettings8.bin"/><Relationship Id="rId1" Type="http://schemas.openxmlformats.org/officeDocument/2006/relationships/pivotTable" Target="../pivotTables/pivotTable1.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customProperty" Target="../customProperty8.bin"/><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N28"/>
  <sheetViews>
    <sheetView zoomScale="130" zoomScaleNormal="130" workbookViewId="0">
      <pane xSplit="1" ySplit="3" topLeftCell="C4" activePane="bottomRight" state="frozen"/>
      <selection pane="topRight" activeCell="B1" sqref="B1"/>
      <selection pane="bottomLeft" activeCell="A3" sqref="A3"/>
      <selection pane="bottomRight" activeCell="J25" sqref="J25"/>
    </sheetView>
  </sheetViews>
  <sheetFormatPr defaultColWidth="9.1796875" defaultRowHeight="13" x14ac:dyDescent="0.3"/>
  <cols>
    <col min="1" max="1" width="28.7265625" style="1142" customWidth="1"/>
    <col min="2" max="2" width="9.81640625" style="1141" hidden="1" customWidth="1"/>
    <col min="3" max="3" width="9.7265625" style="1141" customWidth="1"/>
    <col min="4" max="4" width="11.7265625" style="1142" bestFit="1" customWidth="1"/>
    <col min="5" max="7" width="9.54296875" style="1142" customWidth="1"/>
    <col min="8" max="8" width="9.7265625" style="1142" customWidth="1"/>
    <col min="9" max="9" width="9.7265625" style="1143" customWidth="1"/>
    <col min="10" max="10" width="9.7265625" style="1142" customWidth="1"/>
    <col min="11" max="11" width="10.1796875" style="1142" customWidth="1"/>
    <col min="12" max="12" width="10.1796875" style="1143" customWidth="1"/>
    <col min="13" max="13" width="10.1796875" style="1142" customWidth="1"/>
    <col min="14" max="14" width="10" style="1142" customWidth="1"/>
    <col min="15" max="15" width="10" style="1143" customWidth="1"/>
    <col min="16" max="16" width="10" style="1142" customWidth="1"/>
    <col min="17" max="16384" width="9.1796875" style="1142"/>
  </cols>
  <sheetData>
    <row r="1" spans="1:118" ht="15" x14ac:dyDescent="0.3">
      <c r="A1" s="1140" t="s">
        <v>1168</v>
      </c>
    </row>
    <row r="2" spans="1:118" ht="12.75" customHeight="1" x14ac:dyDescent="0.3">
      <c r="A2" s="1144"/>
      <c r="N2" s="1145" t="s">
        <v>1169</v>
      </c>
      <c r="O2" s="1145"/>
      <c r="P2" s="1145"/>
    </row>
    <row r="3" spans="1:118" ht="56.25" customHeight="1" x14ac:dyDescent="0.35">
      <c r="A3" s="1146" t="s">
        <v>1170</v>
      </c>
      <c r="B3" s="1147" t="s">
        <v>1171</v>
      </c>
      <c r="C3" s="1147" t="s">
        <v>1172</v>
      </c>
      <c r="D3" s="1148" t="s">
        <v>1173</v>
      </c>
      <c r="E3" s="1149" t="s">
        <v>1174</v>
      </c>
      <c r="F3" s="1149" t="s">
        <v>1175</v>
      </c>
      <c r="G3" s="1150" t="s">
        <v>1176</v>
      </c>
      <c r="H3" s="1149" t="s">
        <v>1177</v>
      </c>
      <c r="I3" s="1149" t="s">
        <v>1175</v>
      </c>
      <c r="J3" s="1150" t="s">
        <v>1178</v>
      </c>
      <c r="K3" s="1149" t="s">
        <v>1179</v>
      </c>
      <c r="L3" s="1149" t="s">
        <v>1175</v>
      </c>
      <c r="M3" s="1150" t="s">
        <v>1180</v>
      </c>
      <c r="N3" s="1149" t="s">
        <v>1181</v>
      </c>
      <c r="O3" s="1149" t="s">
        <v>1175</v>
      </c>
      <c r="P3" s="1150" t="s">
        <v>1182</v>
      </c>
      <c r="Q3" s="1151" t="s">
        <v>1183</v>
      </c>
      <c r="R3" s="1151"/>
    </row>
    <row r="4" spans="1:118" ht="9" customHeight="1" x14ac:dyDescent="0.3">
      <c r="A4" s="1146"/>
      <c r="B4" s="1147"/>
      <c r="C4" s="1147"/>
      <c r="D4" s="1152"/>
      <c r="E4" s="1152"/>
      <c r="F4" s="1152"/>
      <c r="G4" s="1152"/>
      <c r="H4" s="1153"/>
      <c r="I4" s="1154"/>
      <c r="J4" s="1153"/>
      <c r="K4" s="1153"/>
      <c r="L4" s="1154"/>
      <c r="M4" s="1153"/>
      <c r="N4" s="1153"/>
      <c r="O4" s="1155"/>
      <c r="P4" s="1156"/>
    </row>
    <row r="5" spans="1:118" x14ac:dyDescent="0.3">
      <c r="A5" s="1157" t="s">
        <v>1184</v>
      </c>
      <c r="B5" s="1158">
        <f t="shared" ref="B5:P5" si="0">SUM(B7:B11)</f>
        <v>299.23455800000005</v>
      </c>
      <c r="C5" s="1158">
        <f t="shared" si="0"/>
        <v>324.277401</v>
      </c>
      <c r="D5" s="1158">
        <f t="shared" si="0"/>
        <v>333.79064599999998</v>
      </c>
      <c r="E5" s="1158">
        <f t="shared" si="0"/>
        <v>363.61931200000009</v>
      </c>
      <c r="F5" s="1158">
        <f t="shared" si="0"/>
        <v>-13.5</v>
      </c>
      <c r="G5" s="1158">
        <f t="shared" si="0"/>
        <v>350.11931200000009</v>
      </c>
      <c r="H5" s="1158">
        <f t="shared" si="0"/>
        <v>328.06833899999998</v>
      </c>
      <c r="I5" s="1159">
        <f t="shared" si="0"/>
        <v>21.5</v>
      </c>
      <c r="J5" s="1158">
        <f t="shared" si="0"/>
        <v>349.56833899999998</v>
      </c>
      <c r="K5" s="1158">
        <f t="shared" si="0"/>
        <v>277.07249999999999</v>
      </c>
      <c r="L5" s="1159">
        <f t="shared" si="0"/>
        <v>11.5</v>
      </c>
      <c r="M5" s="1158">
        <f t="shared" si="0"/>
        <v>288.57249999999999</v>
      </c>
      <c r="N5" s="1158">
        <f t="shared" si="0"/>
        <v>277.07249999999999</v>
      </c>
      <c r="O5" s="1159">
        <f t="shared" si="0"/>
        <v>-28.5</v>
      </c>
      <c r="P5" s="1158">
        <f t="shared" si="0"/>
        <v>248.57249999999999</v>
      </c>
      <c r="Q5" s="1160" t="s">
        <v>1185</v>
      </c>
      <c r="R5" s="1161"/>
      <c r="S5" s="1161"/>
      <c r="T5" s="1161"/>
      <c r="U5" s="1161"/>
      <c r="V5" s="1161"/>
      <c r="W5" s="1161"/>
      <c r="X5" s="1161"/>
      <c r="Y5" s="1161"/>
      <c r="Z5" s="1161"/>
      <c r="AA5" s="1161"/>
      <c r="AB5" s="1161"/>
      <c r="AC5" s="1161"/>
      <c r="AD5" s="1161"/>
      <c r="AE5" s="1161"/>
      <c r="AF5" s="1161"/>
      <c r="AG5" s="1161"/>
      <c r="AH5" s="1161"/>
      <c r="AI5" s="1161"/>
      <c r="AJ5" s="1161"/>
      <c r="AK5" s="1161"/>
      <c r="AL5" s="1161"/>
      <c r="AM5" s="1161"/>
      <c r="AN5" s="1161"/>
      <c r="AO5" s="1161"/>
      <c r="AP5" s="1161"/>
      <c r="AQ5" s="1161"/>
      <c r="AR5" s="1161"/>
      <c r="AS5" s="1161"/>
      <c r="AT5" s="1161"/>
      <c r="AU5" s="1161"/>
      <c r="AV5" s="1161"/>
      <c r="AW5" s="1161"/>
      <c r="AX5" s="1161"/>
      <c r="AY5" s="1161"/>
      <c r="AZ5" s="1161"/>
      <c r="BA5" s="1161"/>
      <c r="BB5" s="1161"/>
      <c r="BC5" s="1161"/>
      <c r="BD5" s="1161"/>
      <c r="BE5" s="1161"/>
      <c r="BF5" s="1161"/>
      <c r="BG5" s="1161"/>
      <c r="BH5" s="1161"/>
      <c r="BI5" s="1161"/>
      <c r="BJ5" s="1161"/>
      <c r="BK5" s="1161"/>
      <c r="BL5" s="1161"/>
      <c r="BM5" s="1161"/>
      <c r="BN5" s="1161"/>
      <c r="BO5" s="1161"/>
      <c r="BP5" s="1161"/>
      <c r="BQ5" s="1161"/>
      <c r="BR5" s="1161"/>
      <c r="BS5" s="1161"/>
      <c r="BT5" s="1161"/>
      <c r="BU5" s="1161"/>
      <c r="BV5" s="1161"/>
      <c r="BW5" s="1161"/>
      <c r="BX5" s="1161"/>
      <c r="BY5" s="1161"/>
      <c r="BZ5" s="1161"/>
      <c r="CA5" s="1161"/>
      <c r="CB5" s="1161"/>
      <c r="CC5" s="1161"/>
      <c r="CD5" s="1161"/>
      <c r="CE5" s="1161"/>
      <c r="CF5" s="1161"/>
      <c r="CG5" s="1161"/>
      <c r="CH5" s="1161"/>
      <c r="CI5" s="1161"/>
      <c r="CJ5" s="1161"/>
      <c r="CK5" s="1161"/>
      <c r="CL5" s="1161"/>
      <c r="CM5" s="1161"/>
      <c r="CN5" s="1161"/>
      <c r="CO5" s="1161"/>
      <c r="CP5" s="1161"/>
      <c r="CQ5" s="1161"/>
      <c r="CR5" s="1161"/>
      <c r="CS5" s="1161"/>
      <c r="CT5" s="1161"/>
      <c r="CU5" s="1161"/>
      <c r="CV5" s="1161"/>
      <c r="CW5" s="1161"/>
      <c r="CX5" s="1161"/>
      <c r="CY5" s="1161"/>
      <c r="CZ5" s="1161"/>
      <c r="DA5" s="1161"/>
      <c r="DB5" s="1161"/>
      <c r="DC5" s="1161"/>
      <c r="DD5" s="1161"/>
      <c r="DE5" s="1161"/>
      <c r="DF5" s="1161"/>
      <c r="DG5" s="1161"/>
      <c r="DH5" s="1161"/>
      <c r="DI5" s="1161"/>
      <c r="DJ5" s="1161"/>
      <c r="DK5" s="1161"/>
      <c r="DL5" s="1161"/>
      <c r="DM5" s="1161"/>
      <c r="DN5" s="1161"/>
    </row>
    <row r="6" spans="1:118" x14ac:dyDescent="0.3">
      <c r="A6" s="1162" t="s">
        <v>1186</v>
      </c>
      <c r="B6" s="1467"/>
      <c r="C6" s="1468"/>
      <c r="D6" s="1468"/>
      <c r="E6" s="1468"/>
      <c r="F6" s="1468"/>
      <c r="G6" s="1468"/>
      <c r="H6" s="1468"/>
      <c r="I6" s="1468"/>
      <c r="J6" s="1468"/>
      <c r="K6" s="1469"/>
      <c r="L6" s="1163"/>
      <c r="M6" s="1164"/>
      <c r="N6" s="1165"/>
      <c r="O6" s="1166"/>
      <c r="P6" s="1167"/>
      <c r="Q6" s="1161"/>
      <c r="R6" s="1161"/>
      <c r="S6" s="1161"/>
      <c r="T6" s="1161"/>
      <c r="U6" s="1161"/>
      <c r="V6" s="1161"/>
      <c r="W6" s="1161"/>
      <c r="X6" s="1161"/>
      <c r="Y6" s="1161"/>
      <c r="Z6" s="1161"/>
      <c r="AA6" s="1161"/>
      <c r="AB6" s="1161"/>
      <c r="AC6" s="1161"/>
      <c r="AD6" s="1161"/>
      <c r="AE6" s="1161"/>
      <c r="AF6" s="1161"/>
      <c r="AG6" s="1161"/>
      <c r="AH6" s="1161"/>
      <c r="AI6" s="1161"/>
      <c r="AJ6" s="1161"/>
      <c r="AK6" s="1161"/>
      <c r="AL6" s="1161"/>
      <c r="AM6" s="1161"/>
      <c r="AN6" s="1161"/>
      <c r="AO6" s="1161"/>
      <c r="AP6" s="1161"/>
      <c r="AQ6" s="1161"/>
      <c r="AR6" s="1161"/>
      <c r="AS6" s="1161"/>
      <c r="AT6" s="1161"/>
      <c r="AU6" s="1161"/>
      <c r="AV6" s="1161"/>
      <c r="AW6" s="1161"/>
      <c r="AX6" s="1161"/>
      <c r="AY6" s="1161"/>
      <c r="AZ6" s="1161"/>
      <c r="BA6" s="1161"/>
      <c r="BB6" s="1161"/>
      <c r="BC6" s="1161"/>
      <c r="BD6" s="1161"/>
      <c r="BE6" s="1161"/>
      <c r="BF6" s="1161"/>
      <c r="BG6" s="1161"/>
      <c r="BH6" s="1161"/>
      <c r="BI6" s="1161"/>
      <c r="BJ6" s="1161"/>
      <c r="BK6" s="1161"/>
      <c r="BL6" s="1161"/>
      <c r="BM6" s="1161"/>
      <c r="BN6" s="1161"/>
      <c r="BO6" s="1161"/>
      <c r="BP6" s="1161"/>
      <c r="BQ6" s="1161"/>
      <c r="BR6" s="1161"/>
      <c r="BS6" s="1161"/>
      <c r="BT6" s="1161"/>
      <c r="BU6" s="1161"/>
      <c r="BV6" s="1161"/>
      <c r="BW6" s="1161"/>
      <c r="BX6" s="1161"/>
      <c r="BY6" s="1161"/>
      <c r="BZ6" s="1161"/>
      <c r="CA6" s="1161"/>
      <c r="CB6" s="1161"/>
      <c r="CC6" s="1161"/>
      <c r="CD6" s="1161"/>
      <c r="CE6" s="1161"/>
      <c r="CF6" s="1161"/>
      <c r="CG6" s="1161"/>
      <c r="CH6" s="1161"/>
      <c r="CI6" s="1161"/>
      <c r="CJ6" s="1161"/>
      <c r="CK6" s="1161"/>
      <c r="CL6" s="1161"/>
      <c r="CM6" s="1161"/>
      <c r="CN6" s="1161"/>
      <c r="CO6" s="1161"/>
      <c r="CP6" s="1161"/>
      <c r="CQ6" s="1161"/>
      <c r="CR6" s="1161"/>
      <c r="CS6" s="1161"/>
      <c r="CT6" s="1161"/>
      <c r="CU6" s="1161"/>
      <c r="CV6" s="1161"/>
      <c r="CW6" s="1161"/>
      <c r="CX6" s="1161"/>
      <c r="CY6" s="1161"/>
      <c r="CZ6" s="1161"/>
      <c r="DA6" s="1161"/>
      <c r="DB6" s="1161"/>
      <c r="DC6" s="1161"/>
      <c r="DD6" s="1161"/>
      <c r="DE6" s="1161"/>
      <c r="DF6" s="1161"/>
      <c r="DG6" s="1161"/>
      <c r="DH6" s="1161"/>
      <c r="DI6" s="1161"/>
      <c r="DJ6" s="1161"/>
      <c r="DK6" s="1161"/>
      <c r="DL6" s="1161"/>
      <c r="DM6" s="1161"/>
      <c r="DN6" s="1161"/>
    </row>
    <row r="7" spans="1:118" ht="12.75" customHeight="1" x14ac:dyDescent="0.3">
      <c r="A7" s="1168" t="s">
        <v>1187</v>
      </c>
      <c r="B7" s="1169">
        <f>3.3-3.3</f>
        <v>0</v>
      </c>
      <c r="C7" s="1169">
        <v>0</v>
      </c>
      <c r="D7" s="1170">
        <v>9</v>
      </c>
      <c r="E7" s="1170">
        <v>6</v>
      </c>
      <c r="F7" s="1170"/>
      <c r="G7" s="1170">
        <f t="shared" ref="G7:G9" si="1">E7+F7</f>
        <v>6</v>
      </c>
      <c r="H7" s="1170">
        <v>0</v>
      </c>
      <c r="I7" s="1171"/>
      <c r="J7" s="1170">
        <f t="shared" ref="J7:J9" si="2">H7+I7</f>
        <v>0</v>
      </c>
      <c r="K7" s="1170">
        <v>0</v>
      </c>
      <c r="L7" s="1171"/>
      <c r="M7" s="1170">
        <f t="shared" ref="M7:M9" si="3">K7+L7</f>
        <v>0</v>
      </c>
      <c r="N7" s="1170">
        <v>0</v>
      </c>
      <c r="O7" s="1171"/>
      <c r="P7" s="1170">
        <f t="shared" ref="P7:P9" si="4">N7+O7</f>
        <v>0</v>
      </c>
      <c r="Q7" s="1172" t="s">
        <v>1188</v>
      </c>
      <c r="R7" s="1161"/>
      <c r="S7" s="1161"/>
      <c r="T7" s="1161"/>
      <c r="U7" s="1161"/>
      <c r="V7" s="1161"/>
      <c r="W7" s="1161"/>
      <c r="X7" s="1161"/>
      <c r="Y7" s="1161"/>
      <c r="Z7" s="1161"/>
      <c r="AA7" s="1161"/>
      <c r="AB7" s="1161"/>
      <c r="AC7" s="1161"/>
      <c r="AD7" s="1161"/>
      <c r="AE7" s="1161"/>
      <c r="AF7" s="1161"/>
      <c r="AG7" s="1161"/>
      <c r="AH7" s="1161"/>
      <c r="AI7" s="1161"/>
      <c r="AJ7" s="1161"/>
      <c r="AK7" s="1161"/>
      <c r="AL7" s="1161"/>
      <c r="AM7" s="1161"/>
      <c r="AN7" s="1161"/>
      <c r="AO7" s="1161"/>
      <c r="AP7" s="1161"/>
      <c r="AQ7" s="1161"/>
      <c r="AR7" s="1161"/>
      <c r="AS7" s="1161"/>
      <c r="AT7" s="1161"/>
      <c r="AU7" s="1161"/>
      <c r="AV7" s="1161"/>
      <c r="AW7" s="1161"/>
      <c r="AX7" s="1161"/>
      <c r="AY7" s="1161"/>
      <c r="AZ7" s="1161"/>
      <c r="BA7" s="1161"/>
      <c r="BB7" s="1161"/>
      <c r="BC7" s="1161"/>
      <c r="BD7" s="1161"/>
      <c r="BE7" s="1161"/>
      <c r="BF7" s="1161"/>
      <c r="BG7" s="1161"/>
      <c r="BH7" s="1161"/>
      <c r="BI7" s="1161"/>
      <c r="BJ7" s="1161"/>
      <c r="BK7" s="1161"/>
      <c r="BL7" s="1161"/>
      <c r="BM7" s="1161"/>
      <c r="BN7" s="1161"/>
      <c r="BO7" s="1161"/>
      <c r="BP7" s="1161"/>
      <c r="BQ7" s="1161"/>
      <c r="BR7" s="1161"/>
      <c r="BS7" s="1161"/>
      <c r="BT7" s="1161"/>
      <c r="BU7" s="1161"/>
      <c r="BV7" s="1161"/>
      <c r="BW7" s="1161"/>
      <c r="BX7" s="1161"/>
      <c r="BY7" s="1161"/>
      <c r="BZ7" s="1161"/>
      <c r="CA7" s="1161"/>
      <c r="CB7" s="1161"/>
      <c r="CC7" s="1161"/>
      <c r="CD7" s="1161"/>
      <c r="CE7" s="1161"/>
      <c r="CF7" s="1161"/>
      <c r="CG7" s="1161"/>
      <c r="CH7" s="1161"/>
      <c r="CI7" s="1161"/>
      <c r="CJ7" s="1161"/>
      <c r="CK7" s="1161"/>
      <c r="CL7" s="1161"/>
      <c r="CM7" s="1161"/>
      <c r="CN7" s="1161"/>
      <c r="CO7" s="1161"/>
      <c r="CP7" s="1161"/>
      <c r="CQ7" s="1161"/>
      <c r="CR7" s="1161"/>
      <c r="CS7" s="1161"/>
      <c r="CT7" s="1161"/>
      <c r="CU7" s="1161"/>
      <c r="CV7" s="1161"/>
      <c r="CW7" s="1161"/>
      <c r="CX7" s="1161"/>
      <c r="CY7" s="1161"/>
      <c r="CZ7" s="1161"/>
      <c r="DA7" s="1161"/>
      <c r="DB7" s="1161"/>
      <c r="DC7" s="1161"/>
      <c r="DD7" s="1161"/>
      <c r="DE7" s="1161"/>
      <c r="DF7" s="1161"/>
      <c r="DG7" s="1161"/>
      <c r="DH7" s="1161"/>
      <c r="DI7" s="1161"/>
      <c r="DJ7" s="1161"/>
      <c r="DK7" s="1161"/>
      <c r="DL7" s="1161"/>
      <c r="DM7" s="1161"/>
      <c r="DN7" s="1161"/>
    </row>
    <row r="8" spans="1:118" ht="12.75" customHeight="1" x14ac:dyDescent="0.3">
      <c r="A8" s="1168" t="s">
        <v>1189</v>
      </c>
      <c r="B8" s="1173">
        <f>24.7125+3.3+1.039868+0.660132</f>
        <v>29.712499999999999</v>
      </c>
      <c r="C8" s="1173">
        <f t="shared" ref="C8:N8" si="5">28.0125+1.3</f>
        <v>29.3125</v>
      </c>
      <c r="D8" s="1174">
        <f t="shared" si="5"/>
        <v>29.3125</v>
      </c>
      <c r="E8" s="1174">
        <f t="shared" si="5"/>
        <v>29.3125</v>
      </c>
      <c r="F8" s="1174"/>
      <c r="G8" s="1170">
        <f t="shared" si="1"/>
        <v>29.3125</v>
      </c>
      <c r="H8" s="1174">
        <f t="shared" si="5"/>
        <v>29.3125</v>
      </c>
      <c r="I8" s="1175"/>
      <c r="J8" s="1170">
        <f t="shared" si="2"/>
        <v>29.3125</v>
      </c>
      <c r="K8" s="1174">
        <f t="shared" si="5"/>
        <v>29.3125</v>
      </c>
      <c r="L8" s="1175"/>
      <c r="M8" s="1170">
        <f t="shared" si="3"/>
        <v>29.3125</v>
      </c>
      <c r="N8" s="1174">
        <f t="shared" si="5"/>
        <v>29.3125</v>
      </c>
      <c r="O8" s="1175"/>
      <c r="P8" s="1170">
        <f t="shared" si="4"/>
        <v>29.3125</v>
      </c>
      <c r="Q8" s="1172" t="s">
        <v>1190</v>
      </c>
      <c r="R8" s="1161"/>
      <c r="S8" s="1161"/>
      <c r="T8" s="1161"/>
      <c r="U8" s="1161"/>
      <c r="V8" s="1161"/>
      <c r="W8" s="1161"/>
      <c r="X8" s="1161"/>
      <c r="Y8" s="1161"/>
      <c r="Z8" s="1161"/>
      <c r="AA8" s="1161"/>
      <c r="AB8" s="1161"/>
      <c r="AC8" s="1161"/>
      <c r="AD8" s="1161"/>
      <c r="AE8" s="1161"/>
      <c r="AF8" s="1161"/>
      <c r="AG8" s="1161"/>
      <c r="AH8" s="1161"/>
      <c r="AI8" s="1161"/>
      <c r="AJ8" s="1161"/>
      <c r="AK8" s="1161"/>
      <c r="AL8" s="1161"/>
      <c r="AM8" s="1161"/>
      <c r="AN8" s="1161"/>
      <c r="AO8" s="1161"/>
      <c r="AP8" s="1161"/>
      <c r="AQ8" s="1161"/>
      <c r="AR8" s="1161"/>
      <c r="AS8" s="1161"/>
      <c r="AT8" s="1161"/>
      <c r="AU8" s="1161"/>
      <c r="AV8" s="1161"/>
      <c r="AW8" s="1161"/>
      <c r="AX8" s="1161"/>
      <c r="AY8" s="1161"/>
      <c r="AZ8" s="1161"/>
      <c r="BA8" s="1161"/>
      <c r="BB8" s="1161"/>
      <c r="BC8" s="1161"/>
      <c r="BD8" s="1161"/>
      <c r="BE8" s="1161"/>
      <c r="BF8" s="1161"/>
      <c r="BG8" s="1161"/>
      <c r="BH8" s="1161"/>
      <c r="BI8" s="1161"/>
      <c r="BJ8" s="1161"/>
      <c r="BK8" s="1161"/>
      <c r="BL8" s="1161"/>
      <c r="BM8" s="1161"/>
      <c r="BN8" s="1161"/>
      <c r="BO8" s="1161"/>
      <c r="BP8" s="1161"/>
      <c r="BQ8" s="1161"/>
      <c r="BR8" s="1161"/>
      <c r="BS8" s="1161"/>
      <c r="BT8" s="1161"/>
      <c r="BU8" s="1161"/>
      <c r="BV8" s="1161"/>
      <c r="BW8" s="1161"/>
      <c r="BX8" s="1161"/>
      <c r="BY8" s="1161"/>
      <c r="BZ8" s="1161"/>
      <c r="CA8" s="1161"/>
      <c r="CB8" s="1161"/>
      <c r="CC8" s="1161"/>
      <c r="CD8" s="1161"/>
      <c r="CE8" s="1161"/>
      <c r="CF8" s="1161"/>
      <c r="CG8" s="1161"/>
      <c r="CH8" s="1161"/>
      <c r="CI8" s="1161"/>
      <c r="CJ8" s="1161"/>
      <c r="CK8" s="1161"/>
      <c r="CL8" s="1161"/>
      <c r="CM8" s="1161"/>
      <c r="CN8" s="1161"/>
      <c r="CO8" s="1161"/>
      <c r="CP8" s="1161"/>
      <c r="CQ8" s="1161"/>
      <c r="CR8" s="1161"/>
      <c r="CS8" s="1161"/>
      <c r="CT8" s="1161"/>
      <c r="CU8" s="1161"/>
      <c r="CV8" s="1161"/>
      <c r="CW8" s="1161"/>
      <c r="CX8" s="1161"/>
      <c r="CY8" s="1161"/>
      <c r="CZ8" s="1161"/>
      <c r="DA8" s="1161"/>
      <c r="DB8" s="1161"/>
      <c r="DC8" s="1161"/>
      <c r="DD8" s="1161"/>
      <c r="DE8" s="1161"/>
      <c r="DF8" s="1161"/>
      <c r="DG8" s="1161"/>
      <c r="DH8" s="1161"/>
      <c r="DI8" s="1161"/>
      <c r="DJ8" s="1161"/>
      <c r="DK8" s="1161"/>
      <c r="DL8" s="1161"/>
      <c r="DM8" s="1161"/>
      <c r="DN8" s="1161"/>
    </row>
    <row r="9" spans="1:118" x14ac:dyDescent="0.3">
      <c r="A9" s="1168" t="s">
        <v>1191</v>
      </c>
      <c r="B9" s="1169">
        <f t="shared" ref="B9:N9" si="6">B24</f>
        <v>29.335584999999998</v>
      </c>
      <c r="C9" s="1169">
        <f t="shared" si="6"/>
        <v>36.860444000000001</v>
      </c>
      <c r="D9" s="1170">
        <f t="shared" si="6"/>
        <v>21.87341</v>
      </c>
      <c r="E9" s="1170">
        <f t="shared" si="6"/>
        <v>14.797812</v>
      </c>
      <c r="F9" s="1170"/>
      <c r="G9" s="1170">
        <f t="shared" si="1"/>
        <v>14.797812</v>
      </c>
      <c r="H9" s="1170">
        <f t="shared" si="6"/>
        <v>5.3858389999999998</v>
      </c>
      <c r="I9" s="1171"/>
      <c r="J9" s="1170">
        <f t="shared" si="2"/>
        <v>5.3858389999999998</v>
      </c>
      <c r="K9" s="1170">
        <f t="shared" si="6"/>
        <v>0</v>
      </c>
      <c r="L9" s="1171"/>
      <c r="M9" s="1170">
        <f t="shared" si="3"/>
        <v>0</v>
      </c>
      <c r="N9" s="1170">
        <f t="shared" si="6"/>
        <v>0</v>
      </c>
      <c r="O9" s="1171"/>
      <c r="P9" s="1170">
        <f t="shared" si="4"/>
        <v>0</v>
      </c>
      <c r="Q9" s="1172" t="s">
        <v>586</v>
      </c>
      <c r="R9" s="1161"/>
      <c r="S9" s="1161"/>
      <c r="T9" s="1161"/>
      <c r="U9" s="1161"/>
      <c r="V9" s="1161"/>
      <c r="W9" s="1161"/>
      <c r="X9" s="1161"/>
      <c r="Y9" s="1161"/>
      <c r="Z9" s="1161"/>
      <c r="AA9" s="1161"/>
      <c r="AB9" s="1161"/>
      <c r="AC9" s="1161"/>
      <c r="AD9" s="1161"/>
      <c r="AE9" s="1161"/>
      <c r="AF9" s="1161"/>
      <c r="AG9" s="1161"/>
      <c r="AH9" s="1161"/>
      <c r="AI9" s="1161"/>
      <c r="AJ9" s="1161"/>
      <c r="AK9" s="1161"/>
      <c r="AL9" s="1161"/>
      <c r="AM9" s="1161"/>
      <c r="AN9" s="1161"/>
      <c r="AO9" s="1161"/>
      <c r="AP9" s="1161"/>
      <c r="AQ9" s="1161"/>
      <c r="AR9" s="1161"/>
      <c r="AS9" s="1161"/>
      <c r="AT9" s="1161"/>
      <c r="AU9" s="1161"/>
      <c r="AV9" s="1161"/>
      <c r="AW9" s="1161"/>
      <c r="AX9" s="1161"/>
      <c r="AY9" s="1161"/>
      <c r="AZ9" s="1161"/>
      <c r="BA9" s="1161"/>
      <c r="BB9" s="1161"/>
      <c r="BC9" s="1161"/>
      <c r="BD9" s="1161"/>
      <c r="BE9" s="1161"/>
      <c r="BF9" s="1161"/>
      <c r="BG9" s="1161"/>
      <c r="BH9" s="1161"/>
      <c r="BI9" s="1161"/>
      <c r="BJ9" s="1161"/>
      <c r="BK9" s="1161"/>
      <c r="BL9" s="1161"/>
      <c r="BM9" s="1161"/>
      <c r="BN9" s="1161"/>
      <c r="BO9" s="1161"/>
      <c r="BP9" s="1161"/>
      <c r="BQ9" s="1161"/>
      <c r="BR9" s="1161"/>
      <c r="BS9" s="1161"/>
      <c r="BT9" s="1161"/>
      <c r="BU9" s="1161"/>
      <c r="BV9" s="1161"/>
      <c r="BW9" s="1161"/>
      <c r="BX9" s="1161"/>
      <c r="BY9" s="1161"/>
      <c r="BZ9" s="1161"/>
      <c r="CA9" s="1161"/>
      <c r="CB9" s="1161"/>
      <c r="CC9" s="1161"/>
      <c r="CD9" s="1161"/>
      <c r="CE9" s="1161"/>
      <c r="CF9" s="1161"/>
      <c r="CG9" s="1161"/>
      <c r="CH9" s="1161"/>
      <c r="CI9" s="1161"/>
      <c r="CJ9" s="1161"/>
      <c r="CK9" s="1161"/>
      <c r="CL9" s="1161"/>
      <c r="CM9" s="1161"/>
      <c r="CN9" s="1161"/>
      <c r="CO9" s="1161"/>
      <c r="CP9" s="1161"/>
      <c r="CQ9" s="1161"/>
      <c r="CR9" s="1161"/>
      <c r="CS9" s="1161"/>
      <c r="CT9" s="1161"/>
      <c r="CU9" s="1161"/>
      <c r="CV9" s="1161"/>
      <c r="CW9" s="1161"/>
      <c r="CX9" s="1161"/>
      <c r="CY9" s="1161"/>
      <c r="CZ9" s="1161"/>
      <c r="DA9" s="1161"/>
      <c r="DB9" s="1161"/>
      <c r="DC9" s="1161"/>
      <c r="DD9" s="1161"/>
      <c r="DE9" s="1161"/>
      <c r="DF9" s="1161"/>
      <c r="DG9" s="1161"/>
      <c r="DH9" s="1161"/>
      <c r="DI9" s="1161"/>
      <c r="DJ9" s="1161"/>
      <c r="DK9" s="1161"/>
      <c r="DL9" s="1161"/>
      <c r="DM9" s="1161"/>
      <c r="DN9" s="1161"/>
    </row>
    <row r="10" spans="1:118" x14ac:dyDescent="0.3">
      <c r="A10" s="1176" t="s">
        <v>1192</v>
      </c>
      <c r="B10" s="1169">
        <f>B16+B17</f>
        <v>199.84763200000003</v>
      </c>
      <c r="C10" s="1169">
        <f t="shared" ref="C10:O10" si="7">C16+C17</f>
        <v>206.61415699999998</v>
      </c>
      <c r="D10" s="1170">
        <f t="shared" si="7"/>
        <v>227.78399999999999</v>
      </c>
      <c r="E10" s="1170">
        <f t="shared" si="7"/>
        <v>266.75900000000007</v>
      </c>
      <c r="F10" s="1170">
        <f t="shared" si="7"/>
        <v>-13.5</v>
      </c>
      <c r="G10" s="1170">
        <f>E10+F10</f>
        <v>253.25900000000007</v>
      </c>
      <c r="H10" s="1170">
        <f t="shared" si="7"/>
        <v>287.76</v>
      </c>
      <c r="I10" s="1171">
        <f t="shared" si="7"/>
        <v>-38.5</v>
      </c>
      <c r="J10" s="1170">
        <f>H10+I10</f>
        <v>249.26</v>
      </c>
      <c r="K10" s="1170">
        <f t="shared" si="7"/>
        <v>247.76</v>
      </c>
      <c r="L10" s="1171">
        <f t="shared" si="7"/>
        <v>-38.5</v>
      </c>
      <c r="M10" s="1170">
        <f>K10+L10</f>
        <v>209.26</v>
      </c>
      <c r="N10" s="1170">
        <f t="shared" si="7"/>
        <v>247.76</v>
      </c>
      <c r="O10" s="1171">
        <f t="shared" si="7"/>
        <v>-38.5</v>
      </c>
      <c r="P10" s="1170">
        <f>N10+O10</f>
        <v>209.26</v>
      </c>
      <c r="Q10" s="1172" t="s">
        <v>1193</v>
      </c>
      <c r="R10" s="1161"/>
      <c r="S10" s="1161"/>
      <c r="T10" s="1161"/>
      <c r="U10" s="1161"/>
      <c r="V10" s="1161"/>
      <c r="W10" s="1161"/>
      <c r="X10" s="1161"/>
      <c r="Y10" s="1161"/>
      <c r="Z10" s="1161"/>
      <c r="AA10" s="1161"/>
      <c r="AB10" s="1161"/>
      <c r="AC10" s="1161"/>
      <c r="AD10" s="1161"/>
      <c r="AE10" s="1161"/>
      <c r="AF10" s="1161"/>
      <c r="AG10" s="1161"/>
      <c r="AH10" s="1161"/>
      <c r="AI10" s="1161"/>
      <c r="AJ10" s="1161"/>
      <c r="AK10" s="1161"/>
      <c r="AL10" s="1161"/>
      <c r="AM10" s="1161"/>
      <c r="AN10" s="1161"/>
      <c r="AO10" s="1161"/>
      <c r="AP10" s="1161"/>
      <c r="AQ10" s="1161"/>
      <c r="AR10" s="1161"/>
      <c r="AS10" s="1161"/>
      <c r="AT10" s="1161"/>
      <c r="AU10" s="1161"/>
      <c r="AV10" s="1161"/>
      <c r="AW10" s="1161"/>
      <c r="AX10" s="1161"/>
      <c r="AY10" s="1161"/>
      <c r="AZ10" s="1161"/>
      <c r="BA10" s="1161"/>
      <c r="BB10" s="1161"/>
      <c r="BC10" s="1161"/>
      <c r="BD10" s="1161"/>
      <c r="BE10" s="1161"/>
      <c r="BF10" s="1161"/>
      <c r="BG10" s="1161"/>
      <c r="BH10" s="1161"/>
      <c r="BI10" s="1161"/>
      <c r="BJ10" s="1161"/>
      <c r="BK10" s="1161"/>
      <c r="BL10" s="1161"/>
      <c r="BM10" s="1161"/>
      <c r="BN10" s="1161"/>
      <c r="BO10" s="1161"/>
      <c r="BP10" s="1161"/>
      <c r="BQ10" s="1161"/>
      <c r="BR10" s="1161"/>
      <c r="BS10" s="1161"/>
      <c r="BT10" s="1161"/>
      <c r="BU10" s="1161"/>
      <c r="BV10" s="1161"/>
      <c r="BW10" s="1161"/>
      <c r="BX10" s="1161"/>
      <c r="BY10" s="1161"/>
      <c r="BZ10" s="1161"/>
      <c r="CA10" s="1161"/>
      <c r="CB10" s="1161"/>
      <c r="CC10" s="1161"/>
      <c r="CD10" s="1161"/>
      <c r="CE10" s="1161"/>
      <c r="CF10" s="1161"/>
      <c r="CG10" s="1161"/>
      <c r="CH10" s="1161"/>
      <c r="CI10" s="1161"/>
      <c r="CJ10" s="1161"/>
      <c r="CK10" s="1161"/>
      <c r="CL10" s="1161"/>
      <c r="CM10" s="1161"/>
      <c r="CN10" s="1161"/>
      <c r="CO10" s="1161"/>
      <c r="CP10" s="1161"/>
      <c r="CQ10" s="1161"/>
      <c r="CR10" s="1161"/>
      <c r="CS10" s="1161"/>
      <c r="CT10" s="1161"/>
      <c r="CU10" s="1161"/>
      <c r="CV10" s="1161"/>
      <c r="CW10" s="1161"/>
      <c r="CX10" s="1161"/>
      <c r="CY10" s="1161"/>
      <c r="CZ10" s="1161"/>
      <c r="DA10" s="1161"/>
      <c r="DB10" s="1161"/>
      <c r="DC10" s="1161"/>
      <c r="DD10" s="1161"/>
      <c r="DE10" s="1161"/>
      <c r="DF10" s="1161"/>
      <c r="DG10" s="1161"/>
      <c r="DH10" s="1161"/>
      <c r="DI10" s="1161"/>
      <c r="DJ10" s="1161"/>
      <c r="DK10" s="1161"/>
      <c r="DL10" s="1161"/>
      <c r="DM10" s="1161"/>
      <c r="DN10" s="1161"/>
    </row>
    <row r="11" spans="1:118" x14ac:dyDescent="0.3">
      <c r="A11" s="1176" t="s">
        <v>1194</v>
      </c>
      <c r="B11" s="1173">
        <f t="shared" ref="B11:O11" si="8">B25</f>
        <v>40.338841000000002</v>
      </c>
      <c r="C11" s="1169">
        <f t="shared" si="8"/>
        <v>51.490299999999998</v>
      </c>
      <c r="D11" s="1170">
        <f t="shared" si="8"/>
        <v>45.820735999999997</v>
      </c>
      <c r="E11" s="1170">
        <f t="shared" si="8"/>
        <v>46.75</v>
      </c>
      <c r="F11" s="1170"/>
      <c r="G11" s="1170">
        <f t="shared" ref="G11:G12" si="9">E11+F11</f>
        <v>46.75</v>
      </c>
      <c r="H11" s="1170">
        <f t="shared" si="8"/>
        <v>5.61</v>
      </c>
      <c r="I11" s="1171">
        <f t="shared" si="8"/>
        <v>60</v>
      </c>
      <c r="J11" s="1170">
        <f t="shared" ref="J11:J12" si="10">H11+I11</f>
        <v>65.61</v>
      </c>
      <c r="K11" s="1170">
        <f t="shared" si="8"/>
        <v>0</v>
      </c>
      <c r="L11" s="1171">
        <f t="shared" si="8"/>
        <v>50</v>
      </c>
      <c r="M11" s="1170">
        <f t="shared" ref="M11:M12" si="11">K11+L11</f>
        <v>50</v>
      </c>
      <c r="N11" s="1170">
        <f t="shared" si="8"/>
        <v>0</v>
      </c>
      <c r="O11" s="1171">
        <f t="shared" si="8"/>
        <v>10</v>
      </c>
      <c r="P11" s="1170">
        <f t="shared" ref="P11:P12" si="12">N11+O11</f>
        <v>10</v>
      </c>
      <c r="Q11" s="1172" t="s">
        <v>586</v>
      </c>
      <c r="R11" s="1161"/>
      <c r="S11" s="1161"/>
      <c r="T11" s="1161"/>
      <c r="U11" s="1161"/>
      <c r="V11" s="1161"/>
      <c r="W11" s="1161"/>
      <c r="X11" s="1161"/>
      <c r="Y11" s="1161"/>
      <c r="Z11" s="1161"/>
      <c r="AA11" s="1161"/>
      <c r="AB11" s="1161"/>
      <c r="AC11" s="1161"/>
      <c r="AD11" s="1161"/>
      <c r="AE11" s="1161"/>
      <c r="AF11" s="1161"/>
      <c r="AG11" s="1161"/>
      <c r="AH11" s="1161"/>
      <c r="AI11" s="1161"/>
      <c r="AJ11" s="1161"/>
      <c r="AK11" s="1161"/>
      <c r="AL11" s="1161"/>
      <c r="AM11" s="1161"/>
      <c r="AN11" s="1161"/>
      <c r="AO11" s="1161"/>
      <c r="AP11" s="1161"/>
      <c r="AQ11" s="1161"/>
      <c r="AR11" s="1161"/>
      <c r="AS11" s="1161"/>
      <c r="AT11" s="1161"/>
      <c r="AU11" s="1161"/>
      <c r="AV11" s="1161"/>
      <c r="AW11" s="1161"/>
      <c r="AX11" s="1161"/>
      <c r="AY11" s="1161"/>
      <c r="AZ11" s="1161"/>
      <c r="BA11" s="1161"/>
      <c r="BB11" s="1161"/>
      <c r="BC11" s="1161"/>
      <c r="BD11" s="1161"/>
      <c r="BE11" s="1161"/>
      <c r="BF11" s="1161"/>
      <c r="BG11" s="1161"/>
      <c r="BH11" s="1161"/>
      <c r="BI11" s="1161"/>
      <c r="BJ11" s="1161"/>
      <c r="BK11" s="1161"/>
      <c r="BL11" s="1161"/>
      <c r="BM11" s="1161"/>
      <c r="BN11" s="1161"/>
      <c r="BO11" s="1161"/>
      <c r="BP11" s="1161"/>
      <c r="BQ11" s="1161"/>
      <c r="BR11" s="1161"/>
      <c r="BS11" s="1161"/>
      <c r="BT11" s="1161"/>
      <c r="BU11" s="1161"/>
      <c r="BV11" s="1161"/>
      <c r="BW11" s="1161"/>
      <c r="BX11" s="1161"/>
      <c r="BY11" s="1161"/>
      <c r="BZ11" s="1161"/>
      <c r="CA11" s="1161"/>
      <c r="CB11" s="1161"/>
      <c r="CC11" s="1161"/>
      <c r="CD11" s="1161"/>
      <c r="CE11" s="1161"/>
      <c r="CF11" s="1161"/>
      <c r="CG11" s="1161"/>
      <c r="CH11" s="1161"/>
      <c r="CI11" s="1161"/>
      <c r="CJ11" s="1161"/>
      <c r="CK11" s="1161"/>
      <c r="CL11" s="1161"/>
      <c r="CM11" s="1161"/>
      <c r="CN11" s="1161"/>
      <c r="CO11" s="1161"/>
      <c r="CP11" s="1161"/>
      <c r="CQ11" s="1161"/>
      <c r="CR11" s="1161"/>
      <c r="CS11" s="1161"/>
      <c r="CT11" s="1161"/>
      <c r="CU11" s="1161"/>
      <c r="CV11" s="1161"/>
      <c r="CW11" s="1161"/>
      <c r="CX11" s="1161"/>
      <c r="CY11" s="1161"/>
      <c r="CZ11" s="1161"/>
      <c r="DA11" s="1161"/>
      <c r="DB11" s="1161"/>
      <c r="DC11" s="1161"/>
      <c r="DD11" s="1161"/>
      <c r="DE11" s="1161"/>
      <c r="DF11" s="1161"/>
      <c r="DG11" s="1161"/>
      <c r="DH11" s="1161"/>
      <c r="DI11" s="1161"/>
      <c r="DJ11" s="1161"/>
      <c r="DK11" s="1161"/>
      <c r="DL11" s="1161"/>
      <c r="DM11" s="1161"/>
      <c r="DN11" s="1161"/>
    </row>
    <row r="12" spans="1:118" ht="14.25" customHeight="1" x14ac:dyDescent="0.3">
      <c r="A12" s="1176" t="s">
        <v>1195</v>
      </c>
      <c r="B12" s="1173"/>
      <c r="C12" s="1169"/>
      <c r="D12" s="1170">
        <f>D18</f>
        <v>58.442999999999998</v>
      </c>
      <c r="E12" s="1170">
        <f t="shared" ref="E12:N12" si="13">E18</f>
        <v>64.043000000000006</v>
      </c>
      <c r="F12" s="1170">
        <v>4.8</v>
      </c>
      <c r="G12" s="1170">
        <f t="shared" si="9"/>
        <v>68.843000000000004</v>
      </c>
      <c r="H12" s="1170">
        <f t="shared" si="13"/>
        <v>64.043000000000006</v>
      </c>
      <c r="I12" s="1171">
        <v>3.1</v>
      </c>
      <c r="J12" s="1170">
        <f t="shared" si="10"/>
        <v>67.143000000000001</v>
      </c>
      <c r="K12" s="1170">
        <f t="shared" si="13"/>
        <v>64.043000000000006</v>
      </c>
      <c r="L12" s="1171">
        <v>3.1</v>
      </c>
      <c r="M12" s="1170">
        <f t="shared" si="11"/>
        <v>67.143000000000001</v>
      </c>
      <c r="N12" s="1170">
        <f t="shared" si="13"/>
        <v>64.043000000000006</v>
      </c>
      <c r="O12" s="1171">
        <v>3.1</v>
      </c>
      <c r="P12" s="1170">
        <f t="shared" si="12"/>
        <v>67.143000000000001</v>
      </c>
      <c r="Q12" s="1172" t="s">
        <v>1196</v>
      </c>
      <c r="R12" s="1161"/>
      <c r="S12" s="1161"/>
      <c r="T12" s="1161"/>
      <c r="U12" s="1161"/>
      <c r="V12" s="1161"/>
      <c r="W12" s="1161"/>
      <c r="X12" s="1161"/>
      <c r="Y12" s="1161"/>
      <c r="Z12" s="1161"/>
      <c r="AA12" s="1161"/>
      <c r="AB12" s="1161"/>
      <c r="AC12" s="1161"/>
      <c r="AD12" s="1161"/>
      <c r="AE12" s="1161"/>
      <c r="AF12" s="1161"/>
      <c r="AG12" s="1161"/>
      <c r="AH12" s="1161"/>
      <c r="AI12" s="1161"/>
      <c r="AJ12" s="1161"/>
      <c r="AK12" s="1161"/>
      <c r="AL12" s="1161"/>
      <c r="AM12" s="1161"/>
      <c r="AN12" s="1161"/>
      <c r="AO12" s="1161"/>
      <c r="AP12" s="1161"/>
      <c r="AQ12" s="1161"/>
      <c r="AR12" s="1161"/>
      <c r="AS12" s="1161"/>
      <c r="AT12" s="1161"/>
      <c r="AU12" s="1161"/>
      <c r="AV12" s="1161"/>
      <c r="AW12" s="1161"/>
      <c r="AX12" s="1161"/>
      <c r="AY12" s="1161"/>
      <c r="AZ12" s="1161"/>
      <c r="BA12" s="1161"/>
      <c r="BB12" s="1161"/>
      <c r="BC12" s="1161"/>
      <c r="BD12" s="1161"/>
      <c r="BE12" s="1161"/>
      <c r="BF12" s="1161"/>
      <c r="BG12" s="1161"/>
      <c r="BH12" s="1161"/>
      <c r="BI12" s="1161"/>
      <c r="BJ12" s="1161"/>
      <c r="BK12" s="1161"/>
      <c r="BL12" s="1161"/>
      <c r="BM12" s="1161"/>
      <c r="BN12" s="1161"/>
      <c r="BO12" s="1161"/>
      <c r="BP12" s="1161"/>
      <c r="BQ12" s="1161"/>
      <c r="BR12" s="1161"/>
      <c r="BS12" s="1161"/>
      <c r="BT12" s="1161"/>
      <c r="BU12" s="1161"/>
      <c r="BV12" s="1161"/>
      <c r="BW12" s="1161"/>
      <c r="BX12" s="1161"/>
      <c r="BY12" s="1161"/>
      <c r="BZ12" s="1161"/>
      <c r="CA12" s="1161"/>
      <c r="CB12" s="1161"/>
      <c r="CC12" s="1161"/>
      <c r="CD12" s="1161"/>
      <c r="CE12" s="1161"/>
      <c r="CF12" s="1161"/>
      <c r="CG12" s="1161"/>
      <c r="CH12" s="1161"/>
      <c r="CI12" s="1161"/>
      <c r="CJ12" s="1161"/>
      <c r="CK12" s="1161"/>
      <c r="CL12" s="1161"/>
      <c r="CM12" s="1161"/>
      <c r="CN12" s="1161"/>
      <c r="CO12" s="1161"/>
      <c r="CP12" s="1161"/>
      <c r="CQ12" s="1161"/>
      <c r="CR12" s="1161"/>
      <c r="CS12" s="1161"/>
      <c r="CT12" s="1161"/>
      <c r="CU12" s="1161"/>
      <c r="CV12" s="1161"/>
      <c r="CW12" s="1161"/>
      <c r="CX12" s="1161"/>
      <c r="CY12" s="1161"/>
      <c r="CZ12" s="1161"/>
      <c r="DA12" s="1161"/>
      <c r="DB12" s="1161"/>
      <c r="DC12" s="1161"/>
      <c r="DD12" s="1161"/>
      <c r="DE12" s="1161"/>
      <c r="DF12" s="1161"/>
      <c r="DG12" s="1161"/>
      <c r="DH12" s="1161"/>
      <c r="DI12" s="1161"/>
      <c r="DJ12" s="1161"/>
      <c r="DK12" s="1161"/>
      <c r="DL12" s="1161"/>
      <c r="DM12" s="1161"/>
      <c r="DN12" s="1161"/>
    </row>
    <row r="13" spans="1:118" ht="8.25" customHeight="1" x14ac:dyDescent="0.3">
      <c r="A13" s="1176"/>
      <c r="B13" s="1173"/>
      <c r="C13" s="1169"/>
      <c r="D13" s="1170"/>
      <c r="E13" s="1170"/>
      <c r="F13" s="1170"/>
      <c r="G13" s="1170"/>
      <c r="H13" s="1170"/>
      <c r="I13" s="1171"/>
      <c r="J13" s="1170"/>
      <c r="K13" s="1170"/>
      <c r="L13" s="1171"/>
      <c r="M13" s="1170"/>
      <c r="N13" s="1170"/>
      <c r="O13" s="1171"/>
      <c r="P13" s="1170"/>
      <c r="Q13" s="1172"/>
      <c r="R13" s="1161"/>
      <c r="S13" s="1161"/>
      <c r="T13" s="1161"/>
      <c r="U13" s="1161"/>
      <c r="V13" s="1161"/>
      <c r="W13" s="1161"/>
      <c r="X13" s="1161"/>
      <c r="Y13" s="1161"/>
      <c r="Z13" s="1161"/>
      <c r="AA13" s="1161"/>
      <c r="AB13" s="1161"/>
      <c r="AC13" s="1161"/>
      <c r="AD13" s="1161"/>
      <c r="AE13" s="1161"/>
      <c r="AF13" s="1161"/>
      <c r="AG13" s="1161"/>
      <c r="AH13" s="1161"/>
      <c r="AI13" s="1161"/>
      <c r="AJ13" s="1161"/>
      <c r="AK13" s="1161"/>
      <c r="AL13" s="1161"/>
      <c r="AM13" s="1161"/>
      <c r="AN13" s="1161"/>
      <c r="AO13" s="1161"/>
      <c r="AP13" s="1161"/>
      <c r="AQ13" s="1161"/>
      <c r="AR13" s="1161"/>
      <c r="AS13" s="1161"/>
      <c r="AT13" s="1161"/>
      <c r="AU13" s="1161"/>
      <c r="AV13" s="1161"/>
      <c r="AW13" s="1161"/>
      <c r="AX13" s="1161"/>
      <c r="AY13" s="1161"/>
      <c r="AZ13" s="1161"/>
      <c r="BA13" s="1161"/>
      <c r="BB13" s="1161"/>
      <c r="BC13" s="1161"/>
      <c r="BD13" s="1161"/>
      <c r="BE13" s="1161"/>
      <c r="BF13" s="1161"/>
      <c r="BG13" s="1161"/>
      <c r="BH13" s="1161"/>
      <c r="BI13" s="1161"/>
      <c r="BJ13" s="1161"/>
      <c r="BK13" s="1161"/>
      <c r="BL13" s="1161"/>
      <c r="BM13" s="1161"/>
      <c r="BN13" s="1161"/>
      <c r="BO13" s="1161"/>
      <c r="BP13" s="1161"/>
      <c r="BQ13" s="1161"/>
      <c r="BR13" s="1161"/>
      <c r="BS13" s="1161"/>
      <c r="BT13" s="1161"/>
      <c r="BU13" s="1161"/>
      <c r="BV13" s="1161"/>
      <c r="BW13" s="1161"/>
      <c r="BX13" s="1161"/>
      <c r="BY13" s="1161"/>
      <c r="BZ13" s="1161"/>
      <c r="CA13" s="1161"/>
      <c r="CB13" s="1161"/>
      <c r="CC13" s="1161"/>
      <c r="CD13" s="1161"/>
      <c r="CE13" s="1161"/>
      <c r="CF13" s="1161"/>
      <c r="CG13" s="1161"/>
      <c r="CH13" s="1161"/>
      <c r="CI13" s="1161"/>
      <c r="CJ13" s="1161"/>
      <c r="CK13" s="1161"/>
      <c r="CL13" s="1161"/>
      <c r="CM13" s="1161"/>
      <c r="CN13" s="1161"/>
      <c r="CO13" s="1161"/>
      <c r="CP13" s="1161"/>
      <c r="CQ13" s="1161"/>
      <c r="CR13" s="1161"/>
      <c r="CS13" s="1161"/>
      <c r="CT13" s="1161"/>
      <c r="CU13" s="1161"/>
      <c r="CV13" s="1161"/>
      <c r="CW13" s="1161"/>
      <c r="CX13" s="1161"/>
      <c r="CY13" s="1161"/>
      <c r="CZ13" s="1161"/>
      <c r="DA13" s="1161"/>
      <c r="DB13" s="1161"/>
      <c r="DC13" s="1161"/>
      <c r="DD13" s="1161"/>
      <c r="DE13" s="1161"/>
      <c r="DF13" s="1161"/>
      <c r="DG13" s="1161"/>
      <c r="DH13" s="1161"/>
      <c r="DI13" s="1161"/>
      <c r="DJ13" s="1161"/>
      <c r="DK13" s="1161"/>
      <c r="DL13" s="1161"/>
      <c r="DM13" s="1161"/>
      <c r="DN13" s="1161"/>
    </row>
    <row r="14" spans="1:118" s="1180" customFormat="1" ht="24.5" x14ac:dyDescent="0.3">
      <c r="A14" s="1177" t="s">
        <v>1197</v>
      </c>
      <c r="B14" s="1178">
        <f>SUM(B16:B18)</f>
        <v>199.84763200000003</v>
      </c>
      <c r="C14" s="1179">
        <f>SUM(C16:C18)</f>
        <v>206.61415699999998</v>
      </c>
      <c r="D14" s="1179">
        <f>SUM(D16:D18)-D18</f>
        <v>227.78399999999999</v>
      </c>
      <c r="E14" s="1179">
        <f>SUM(E16:E18)-E18</f>
        <v>266.75900000000007</v>
      </c>
      <c r="F14" s="1179">
        <f>SUM(F16:F18)-F18</f>
        <v>-13.5</v>
      </c>
      <c r="G14" s="1179">
        <f>SUM(G16:G18)-G18</f>
        <v>253.25900000000001</v>
      </c>
      <c r="H14" s="1179">
        <f>SUM(H16:H18)-H18</f>
        <v>287.76</v>
      </c>
      <c r="I14" s="1179">
        <f t="shared" ref="I14:M14" si="14">SUM(I16:I18)-I18</f>
        <v>-38.5</v>
      </c>
      <c r="J14" s="1179">
        <f t="shared" si="14"/>
        <v>249.26</v>
      </c>
      <c r="K14" s="1179">
        <f t="shared" si="14"/>
        <v>247.76</v>
      </c>
      <c r="L14" s="1179">
        <f t="shared" si="14"/>
        <v>-38.5</v>
      </c>
      <c r="M14" s="1179">
        <f t="shared" si="14"/>
        <v>209.26</v>
      </c>
      <c r="N14" s="1179">
        <f t="shared" ref="N14" si="15">SUM(N16:N18)-N18</f>
        <v>247.76</v>
      </c>
      <c r="O14" s="1179">
        <f t="shared" ref="O14:P14" si="16">SUM(O16:O18)-O18</f>
        <v>-38.5</v>
      </c>
      <c r="P14" s="1179">
        <f t="shared" si="16"/>
        <v>209.26</v>
      </c>
      <c r="Q14" s="1172"/>
      <c r="R14" s="1172"/>
      <c r="S14" s="1161"/>
      <c r="T14" s="1161"/>
      <c r="U14" s="1161"/>
      <c r="V14" s="1161"/>
      <c r="W14" s="1161"/>
      <c r="X14" s="1161"/>
      <c r="Y14" s="1161"/>
      <c r="Z14" s="1161"/>
      <c r="AA14" s="1161"/>
      <c r="AB14" s="1161"/>
      <c r="AC14" s="1161"/>
      <c r="AD14" s="1161"/>
      <c r="AE14" s="1161"/>
      <c r="AF14" s="1161"/>
      <c r="AG14" s="1161"/>
      <c r="AH14" s="1161"/>
      <c r="AI14" s="1161"/>
      <c r="AJ14" s="1161"/>
      <c r="AK14" s="1161"/>
      <c r="AL14" s="1161"/>
      <c r="AM14" s="1161"/>
      <c r="AN14" s="1161"/>
      <c r="AO14" s="1161"/>
      <c r="AP14" s="1161"/>
      <c r="AQ14" s="1161"/>
      <c r="AR14" s="1161"/>
      <c r="AS14" s="1161"/>
      <c r="AT14" s="1161"/>
      <c r="AU14" s="1161"/>
      <c r="AV14" s="1161"/>
      <c r="AW14" s="1161"/>
      <c r="AX14" s="1161"/>
      <c r="AY14" s="1161"/>
      <c r="AZ14" s="1161"/>
      <c r="BA14" s="1161"/>
      <c r="BB14" s="1161"/>
      <c r="BC14" s="1161"/>
      <c r="BD14" s="1161"/>
      <c r="BE14" s="1161"/>
      <c r="BF14" s="1161"/>
      <c r="BG14" s="1161"/>
      <c r="BH14" s="1161"/>
      <c r="BI14" s="1161"/>
      <c r="BJ14" s="1161"/>
      <c r="BK14" s="1161"/>
      <c r="BL14" s="1161"/>
      <c r="BM14" s="1161"/>
      <c r="BN14" s="1161"/>
      <c r="BO14" s="1161"/>
      <c r="BP14" s="1161"/>
      <c r="BQ14" s="1161"/>
      <c r="BR14" s="1161"/>
      <c r="BS14" s="1161"/>
      <c r="BT14" s="1161"/>
      <c r="BU14" s="1161"/>
      <c r="BV14" s="1161"/>
      <c r="BW14" s="1161"/>
      <c r="BX14" s="1161"/>
      <c r="BY14" s="1161"/>
      <c r="BZ14" s="1161"/>
      <c r="CA14" s="1161"/>
      <c r="CB14" s="1161"/>
      <c r="CC14" s="1161"/>
      <c r="CD14" s="1161"/>
      <c r="CE14" s="1161"/>
      <c r="CF14" s="1161"/>
      <c r="CG14" s="1161"/>
      <c r="CH14" s="1161"/>
      <c r="CI14" s="1161"/>
      <c r="CJ14" s="1161"/>
      <c r="CK14" s="1161"/>
      <c r="CL14" s="1161"/>
      <c r="CM14" s="1161"/>
      <c r="CN14" s="1161"/>
      <c r="CO14" s="1161"/>
      <c r="CP14" s="1161"/>
      <c r="CQ14" s="1161"/>
      <c r="CR14" s="1161"/>
      <c r="CS14" s="1161"/>
      <c r="CT14" s="1161"/>
      <c r="CU14" s="1161"/>
      <c r="CV14" s="1161"/>
      <c r="CW14" s="1161"/>
      <c r="CX14" s="1161"/>
      <c r="CY14" s="1161"/>
      <c r="CZ14" s="1161"/>
      <c r="DA14" s="1161"/>
      <c r="DB14" s="1161"/>
      <c r="DC14" s="1161"/>
      <c r="DD14" s="1161"/>
      <c r="DE14" s="1161"/>
      <c r="DF14" s="1161"/>
      <c r="DG14" s="1161"/>
      <c r="DH14" s="1161"/>
      <c r="DI14" s="1161"/>
      <c r="DJ14" s="1161"/>
      <c r="DK14" s="1161"/>
      <c r="DL14" s="1161"/>
      <c r="DM14" s="1161"/>
      <c r="DN14" s="1161"/>
    </row>
    <row r="15" spans="1:118" s="1180" customFormat="1" x14ac:dyDescent="0.3">
      <c r="A15" s="1181" t="s">
        <v>1198</v>
      </c>
      <c r="B15" s="1182"/>
      <c r="C15" s="1470"/>
      <c r="D15" s="1471"/>
      <c r="E15" s="1471"/>
      <c r="F15" s="1471"/>
      <c r="G15" s="1471"/>
      <c r="H15" s="1471"/>
      <c r="I15" s="1471"/>
      <c r="J15" s="1471"/>
      <c r="K15" s="1471"/>
      <c r="L15" s="1471"/>
      <c r="M15" s="1471"/>
      <c r="N15" s="1472"/>
      <c r="O15" s="1183"/>
      <c r="P15" s="1184"/>
      <c r="Q15" s="1161"/>
      <c r="R15" s="1161"/>
      <c r="S15" s="1161"/>
      <c r="T15" s="1161"/>
      <c r="U15" s="1161"/>
      <c r="V15" s="1161"/>
      <c r="W15" s="1161"/>
      <c r="X15" s="1161"/>
      <c r="Y15" s="1161"/>
      <c r="Z15" s="1161"/>
      <c r="AA15" s="1161"/>
      <c r="AB15" s="1161"/>
      <c r="AC15" s="1161"/>
      <c r="AD15" s="1161"/>
      <c r="AE15" s="1161"/>
      <c r="AF15" s="1161"/>
      <c r="AG15" s="1161"/>
      <c r="AH15" s="1161"/>
      <c r="AI15" s="1161"/>
      <c r="AJ15" s="1161"/>
      <c r="AK15" s="1161"/>
      <c r="AL15" s="1161"/>
      <c r="AM15" s="1161"/>
      <c r="AN15" s="1161"/>
      <c r="AO15" s="1161"/>
      <c r="AP15" s="1161"/>
      <c r="AQ15" s="1161"/>
      <c r="AR15" s="1161"/>
      <c r="AS15" s="1161"/>
      <c r="AT15" s="1161"/>
      <c r="AU15" s="1161"/>
      <c r="AV15" s="1161"/>
      <c r="AW15" s="1161"/>
      <c r="AX15" s="1161"/>
      <c r="AY15" s="1161"/>
      <c r="AZ15" s="1161"/>
      <c r="BA15" s="1161"/>
      <c r="BB15" s="1161"/>
      <c r="BC15" s="1161"/>
      <c r="BD15" s="1161"/>
      <c r="BE15" s="1161"/>
      <c r="BF15" s="1161"/>
      <c r="BG15" s="1161"/>
      <c r="BH15" s="1161"/>
      <c r="BI15" s="1161"/>
      <c r="BJ15" s="1161"/>
      <c r="BK15" s="1161"/>
      <c r="BL15" s="1161"/>
      <c r="BM15" s="1161"/>
      <c r="BN15" s="1161"/>
      <c r="BO15" s="1161"/>
      <c r="BP15" s="1161"/>
      <c r="BQ15" s="1161"/>
      <c r="BR15" s="1161"/>
      <c r="BS15" s="1161"/>
      <c r="BT15" s="1161"/>
      <c r="BU15" s="1161"/>
      <c r="BV15" s="1161"/>
      <c r="BW15" s="1161"/>
      <c r="BX15" s="1161"/>
      <c r="BY15" s="1161"/>
      <c r="BZ15" s="1161"/>
      <c r="CA15" s="1161"/>
      <c r="CB15" s="1161"/>
      <c r="CC15" s="1161"/>
      <c r="CD15" s="1161"/>
      <c r="CE15" s="1161"/>
      <c r="CF15" s="1161"/>
      <c r="CG15" s="1161"/>
      <c r="CH15" s="1161"/>
      <c r="CI15" s="1161"/>
      <c r="CJ15" s="1161"/>
      <c r="CK15" s="1161"/>
      <c r="CL15" s="1161"/>
      <c r="CM15" s="1161"/>
      <c r="CN15" s="1161"/>
      <c r="CO15" s="1161"/>
      <c r="CP15" s="1161"/>
      <c r="CQ15" s="1161"/>
      <c r="CR15" s="1161"/>
      <c r="CS15" s="1161"/>
      <c r="CT15" s="1161"/>
      <c r="CU15" s="1161"/>
      <c r="CV15" s="1161"/>
      <c r="CW15" s="1161"/>
      <c r="CX15" s="1161"/>
      <c r="CY15" s="1161"/>
      <c r="CZ15" s="1161"/>
      <c r="DA15" s="1161"/>
      <c r="DB15" s="1161"/>
      <c r="DC15" s="1161"/>
      <c r="DD15" s="1161"/>
      <c r="DE15" s="1161"/>
      <c r="DF15" s="1161"/>
      <c r="DG15" s="1161"/>
      <c r="DH15" s="1161"/>
      <c r="DI15" s="1161"/>
      <c r="DJ15" s="1161"/>
      <c r="DK15" s="1161"/>
      <c r="DL15" s="1161"/>
      <c r="DM15" s="1161"/>
      <c r="DN15" s="1161"/>
    </row>
    <row r="16" spans="1:118" x14ac:dyDescent="0.3">
      <c r="A16" s="1185" t="s">
        <v>1199</v>
      </c>
      <c r="B16" s="1186">
        <f>67.006227+0.009856+123.062982+0.061144</f>
        <v>190.14020900000003</v>
      </c>
      <c r="C16" s="1186">
        <f>71.240343+0.017054+126.29065-2.99359</f>
        <v>194.55445699999999</v>
      </c>
      <c r="D16" s="1186">
        <f>227.286054-D17+0.433+0.055946+0.009</f>
        <v>218.404</v>
      </c>
      <c r="E16" s="1186">
        <f>247.261054-E17+0.433+0.055946+19+0.009</f>
        <v>262.11300000000006</v>
      </c>
      <c r="F16" s="1186">
        <f>-15+1.5</f>
        <v>-13.5</v>
      </c>
      <c r="G16" s="1186">
        <f>E16+F16</f>
        <v>248.61300000000006</v>
      </c>
      <c r="H16" s="1187">
        <f>78.857+0.017054+168.388+0.433+0.055946+40+0.009</f>
        <v>287.76</v>
      </c>
      <c r="I16" s="1186">
        <f>-40+1.5</f>
        <v>-38.5</v>
      </c>
      <c r="J16" s="1186">
        <f>H16+I16</f>
        <v>249.26</v>
      </c>
      <c r="K16" s="1186">
        <f>78.857+0.017054+168.388+0.433+0.055946+0.009</f>
        <v>247.76</v>
      </c>
      <c r="L16" s="1186">
        <f>-40+1.5</f>
        <v>-38.5</v>
      </c>
      <c r="M16" s="1186">
        <f>K16+L16</f>
        <v>209.26</v>
      </c>
      <c r="N16" s="1186">
        <v>247.76</v>
      </c>
      <c r="O16" s="1186">
        <f>-40+1.5</f>
        <v>-38.5</v>
      </c>
      <c r="P16" s="1186">
        <f>N16+O16</f>
        <v>209.26</v>
      </c>
      <c r="Q16" s="1172" t="s">
        <v>1200</v>
      </c>
      <c r="R16" s="1161"/>
      <c r="S16" s="1161"/>
      <c r="T16" s="1161"/>
      <c r="U16" s="1161"/>
      <c r="V16" s="1161"/>
      <c r="W16" s="1161"/>
      <c r="X16" s="1161"/>
      <c r="Y16" s="1161"/>
      <c r="Z16" s="1161"/>
      <c r="AA16" s="1161"/>
      <c r="AB16" s="1161"/>
      <c r="AC16" s="1161"/>
      <c r="AD16" s="1161"/>
      <c r="AE16" s="1161"/>
      <c r="AF16" s="1161"/>
      <c r="AG16" s="1161"/>
      <c r="AH16" s="1161"/>
      <c r="AI16" s="1161"/>
      <c r="AJ16" s="1161"/>
      <c r="AK16" s="1161"/>
      <c r="AL16" s="1161"/>
      <c r="AM16" s="1161"/>
      <c r="AN16" s="1161"/>
      <c r="AO16" s="1161"/>
      <c r="AP16" s="1161"/>
      <c r="AQ16" s="1161"/>
      <c r="AR16" s="1161"/>
      <c r="AS16" s="1161"/>
      <c r="AT16" s="1161"/>
      <c r="AU16" s="1161"/>
      <c r="AV16" s="1161"/>
      <c r="AW16" s="1161"/>
      <c r="AX16" s="1161"/>
      <c r="AY16" s="1161"/>
      <c r="AZ16" s="1161"/>
      <c r="BA16" s="1161"/>
      <c r="BB16" s="1161"/>
      <c r="BC16" s="1161"/>
      <c r="BD16" s="1161"/>
      <c r="BE16" s="1161"/>
      <c r="BF16" s="1161"/>
      <c r="BG16" s="1161"/>
      <c r="BH16" s="1161"/>
      <c r="BI16" s="1161"/>
      <c r="BJ16" s="1161"/>
      <c r="BK16" s="1161"/>
      <c r="BL16" s="1161"/>
      <c r="BM16" s="1161"/>
      <c r="BN16" s="1161"/>
      <c r="BO16" s="1161"/>
      <c r="BP16" s="1161"/>
      <c r="BQ16" s="1161"/>
      <c r="BR16" s="1161"/>
      <c r="BS16" s="1161"/>
      <c r="BT16" s="1161"/>
      <c r="BU16" s="1161"/>
      <c r="BV16" s="1161"/>
      <c r="BW16" s="1161"/>
      <c r="BX16" s="1161"/>
      <c r="BY16" s="1161"/>
      <c r="BZ16" s="1161"/>
      <c r="CA16" s="1161"/>
      <c r="CB16" s="1161"/>
      <c r="CC16" s="1161"/>
      <c r="CD16" s="1161"/>
      <c r="CE16" s="1161"/>
      <c r="CF16" s="1161"/>
      <c r="CG16" s="1161"/>
      <c r="CH16" s="1161"/>
      <c r="CI16" s="1161"/>
      <c r="CJ16" s="1161"/>
      <c r="CK16" s="1161"/>
      <c r="CL16" s="1161"/>
      <c r="CM16" s="1161"/>
      <c r="CN16" s="1161"/>
      <c r="CO16" s="1161"/>
      <c r="CP16" s="1161"/>
      <c r="CQ16" s="1161"/>
      <c r="CR16" s="1161"/>
      <c r="CS16" s="1161"/>
      <c r="CT16" s="1161"/>
      <c r="CU16" s="1161"/>
      <c r="CV16" s="1161"/>
      <c r="CW16" s="1161"/>
      <c r="CX16" s="1161"/>
      <c r="CY16" s="1161"/>
      <c r="CZ16" s="1161"/>
      <c r="DA16" s="1161"/>
      <c r="DB16" s="1161"/>
      <c r="DC16" s="1161"/>
      <c r="DD16" s="1161"/>
      <c r="DE16" s="1161"/>
      <c r="DF16" s="1161"/>
      <c r="DG16" s="1161"/>
      <c r="DH16" s="1161"/>
      <c r="DI16" s="1161"/>
      <c r="DJ16" s="1161"/>
      <c r="DK16" s="1161"/>
      <c r="DL16" s="1161"/>
      <c r="DM16" s="1161"/>
      <c r="DN16" s="1161"/>
    </row>
    <row r="17" spans="1:118" x14ac:dyDescent="0.3">
      <c r="A17" s="1188" t="s">
        <v>1201</v>
      </c>
      <c r="B17" s="1189">
        <f>9.707423</f>
        <v>9.7074230000000004</v>
      </c>
      <c r="C17" s="1186">
        <v>12.059699999999999</v>
      </c>
      <c r="D17" s="1186">
        <f>8.519353+0.860647</f>
        <v>9.3800000000000008</v>
      </c>
      <c r="E17" s="1186">
        <f>4.5045+0.1415</f>
        <v>4.6459999999999999</v>
      </c>
      <c r="F17" s="1186"/>
      <c r="G17" s="1186">
        <f t="shared" ref="G17:G20" si="17">E17+F17</f>
        <v>4.6459999999999999</v>
      </c>
      <c r="H17" s="1186">
        <v>0</v>
      </c>
      <c r="I17" s="1190"/>
      <c r="J17" s="1186">
        <f t="shared" ref="J17:J20" si="18">H17+I17</f>
        <v>0</v>
      </c>
      <c r="K17" s="1186">
        <v>0</v>
      </c>
      <c r="L17" s="1190"/>
      <c r="M17" s="1186">
        <f t="shared" ref="M17:M20" si="19">K17+L17</f>
        <v>0</v>
      </c>
      <c r="N17" s="1186">
        <v>0</v>
      </c>
      <c r="O17" s="1190"/>
      <c r="P17" s="1186">
        <f t="shared" ref="P17:P20" si="20">N17+O17</f>
        <v>0</v>
      </c>
      <c r="Q17" s="1172"/>
      <c r="R17" s="1161"/>
      <c r="S17" s="1161"/>
      <c r="T17" s="1161"/>
      <c r="U17" s="1161"/>
      <c r="V17" s="1161"/>
      <c r="W17" s="1161"/>
      <c r="X17" s="1161"/>
      <c r="Y17" s="1161"/>
      <c r="Z17" s="1161"/>
      <c r="AA17" s="1161"/>
      <c r="AB17" s="1161"/>
      <c r="AC17" s="1161"/>
      <c r="AD17" s="1161"/>
      <c r="AE17" s="1161"/>
      <c r="AF17" s="1161"/>
      <c r="AG17" s="1161"/>
      <c r="AH17" s="1161"/>
      <c r="AI17" s="1161"/>
      <c r="AJ17" s="1161"/>
      <c r="AK17" s="1161"/>
      <c r="AL17" s="1161"/>
      <c r="AM17" s="1161"/>
      <c r="AN17" s="1161"/>
      <c r="AO17" s="1161"/>
      <c r="AP17" s="1161"/>
      <c r="AQ17" s="1161"/>
      <c r="AR17" s="1161"/>
      <c r="AS17" s="1161"/>
      <c r="AT17" s="1161"/>
      <c r="AU17" s="1161"/>
      <c r="AV17" s="1161"/>
      <c r="AW17" s="1161"/>
      <c r="AX17" s="1161"/>
      <c r="AY17" s="1161"/>
      <c r="AZ17" s="1161"/>
      <c r="BA17" s="1161"/>
      <c r="BB17" s="1161"/>
      <c r="BC17" s="1161"/>
      <c r="BD17" s="1161"/>
      <c r="BE17" s="1161"/>
      <c r="BF17" s="1161"/>
      <c r="BG17" s="1161"/>
      <c r="BH17" s="1161"/>
      <c r="BI17" s="1161"/>
      <c r="BJ17" s="1161"/>
      <c r="BK17" s="1161"/>
      <c r="BL17" s="1161"/>
      <c r="BM17" s="1161"/>
      <c r="BN17" s="1161"/>
      <c r="BO17" s="1161"/>
      <c r="BP17" s="1161"/>
      <c r="BQ17" s="1161"/>
      <c r="BR17" s="1161"/>
      <c r="BS17" s="1161"/>
      <c r="BT17" s="1161"/>
      <c r="BU17" s="1161"/>
      <c r="BV17" s="1161"/>
      <c r="BW17" s="1161"/>
      <c r="BX17" s="1161"/>
      <c r="BY17" s="1161"/>
      <c r="BZ17" s="1161"/>
      <c r="CA17" s="1161"/>
      <c r="CB17" s="1161"/>
      <c r="CC17" s="1161"/>
      <c r="CD17" s="1161"/>
      <c r="CE17" s="1161"/>
      <c r="CF17" s="1161"/>
      <c r="CG17" s="1161"/>
      <c r="CH17" s="1161"/>
      <c r="CI17" s="1161"/>
      <c r="CJ17" s="1161"/>
      <c r="CK17" s="1161"/>
      <c r="CL17" s="1161"/>
      <c r="CM17" s="1161"/>
      <c r="CN17" s="1161"/>
      <c r="CO17" s="1161"/>
      <c r="CP17" s="1161"/>
      <c r="CQ17" s="1161"/>
      <c r="CR17" s="1161"/>
      <c r="CS17" s="1161"/>
      <c r="CT17" s="1161"/>
      <c r="CU17" s="1161"/>
      <c r="CV17" s="1161"/>
      <c r="CW17" s="1161"/>
      <c r="CX17" s="1161"/>
      <c r="CY17" s="1161"/>
      <c r="CZ17" s="1161"/>
      <c r="DA17" s="1161"/>
      <c r="DB17" s="1161"/>
      <c r="DC17" s="1161"/>
      <c r="DD17" s="1161"/>
      <c r="DE17" s="1161"/>
      <c r="DF17" s="1161"/>
      <c r="DG17" s="1161"/>
      <c r="DH17" s="1161"/>
      <c r="DI17" s="1161"/>
      <c r="DJ17" s="1161"/>
      <c r="DK17" s="1161"/>
      <c r="DL17" s="1161"/>
      <c r="DM17" s="1161"/>
      <c r="DN17" s="1161"/>
    </row>
    <row r="18" spans="1:118" x14ac:dyDescent="0.3">
      <c r="A18" s="1185" t="s">
        <v>1202</v>
      </c>
      <c r="B18" s="1186"/>
      <c r="C18" s="1186"/>
      <c r="D18" s="1186">
        <f>56.643+1.8</f>
        <v>58.442999999999998</v>
      </c>
      <c r="E18" s="1186">
        <v>64.043000000000006</v>
      </c>
      <c r="F18" s="1186"/>
      <c r="G18" s="1186">
        <f t="shared" si="17"/>
        <v>64.043000000000006</v>
      </c>
      <c r="H18" s="1186">
        <v>64.043000000000006</v>
      </c>
      <c r="I18" s="1190"/>
      <c r="J18" s="1186">
        <f t="shared" si="18"/>
        <v>64.043000000000006</v>
      </c>
      <c r="K18" s="1186">
        <v>64.043000000000006</v>
      </c>
      <c r="L18" s="1190"/>
      <c r="M18" s="1186">
        <f t="shared" si="19"/>
        <v>64.043000000000006</v>
      </c>
      <c r="N18" s="1186">
        <v>64.043000000000006</v>
      </c>
      <c r="O18" s="1190"/>
      <c r="P18" s="1186">
        <f t="shared" si="20"/>
        <v>64.043000000000006</v>
      </c>
      <c r="Q18" s="1172" t="s">
        <v>1203</v>
      </c>
      <c r="R18" s="1161"/>
      <c r="S18" s="1161"/>
      <c r="T18" s="1161"/>
      <c r="U18" s="1161"/>
      <c r="V18" s="1161"/>
      <c r="W18" s="1161"/>
      <c r="X18" s="1161"/>
      <c r="Y18" s="1161"/>
      <c r="Z18" s="1161"/>
      <c r="AA18" s="1161"/>
      <c r="AB18" s="1161"/>
      <c r="AC18" s="1161"/>
      <c r="AD18" s="1161"/>
      <c r="AE18" s="1161"/>
      <c r="AF18" s="1161"/>
      <c r="AG18" s="1161"/>
      <c r="AH18" s="1161"/>
      <c r="AI18" s="1161"/>
      <c r="AJ18" s="1161"/>
      <c r="AK18" s="1161"/>
      <c r="AL18" s="1161"/>
      <c r="AM18" s="1161"/>
      <c r="AN18" s="1161"/>
      <c r="AO18" s="1161"/>
      <c r="AP18" s="1161"/>
      <c r="AQ18" s="1161"/>
      <c r="AR18" s="1161"/>
      <c r="AS18" s="1161"/>
      <c r="AT18" s="1161"/>
      <c r="AU18" s="1161"/>
      <c r="AV18" s="1161"/>
      <c r="AW18" s="1161"/>
      <c r="AX18" s="1161"/>
      <c r="AY18" s="1161"/>
      <c r="AZ18" s="1161"/>
      <c r="BA18" s="1161"/>
      <c r="BB18" s="1161"/>
      <c r="BC18" s="1161"/>
      <c r="BD18" s="1161"/>
      <c r="BE18" s="1161"/>
      <c r="BF18" s="1161"/>
      <c r="BG18" s="1161"/>
      <c r="BH18" s="1161"/>
      <c r="BI18" s="1161"/>
      <c r="BJ18" s="1161"/>
      <c r="BK18" s="1161"/>
      <c r="BL18" s="1161"/>
      <c r="BM18" s="1161"/>
      <c r="BN18" s="1161"/>
      <c r="BO18" s="1161"/>
      <c r="BP18" s="1161"/>
      <c r="BQ18" s="1161"/>
      <c r="BR18" s="1161"/>
      <c r="BS18" s="1161"/>
      <c r="BT18" s="1161"/>
      <c r="BU18" s="1161"/>
      <c r="BV18" s="1161"/>
      <c r="BW18" s="1161"/>
      <c r="BX18" s="1161"/>
      <c r="BY18" s="1161"/>
      <c r="BZ18" s="1161"/>
      <c r="CA18" s="1161"/>
      <c r="CB18" s="1161"/>
      <c r="CC18" s="1161"/>
      <c r="CD18" s="1161"/>
      <c r="CE18" s="1161"/>
      <c r="CF18" s="1161"/>
      <c r="CG18" s="1161"/>
      <c r="CH18" s="1161"/>
      <c r="CI18" s="1161"/>
      <c r="CJ18" s="1161"/>
      <c r="CK18" s="1161"/>
      <c r="CL18" s="1161"/>
      <c r="CM18" s="1161"/>
      <c r="CN18" s="1161"/>
      <c r="CO18" s="1161"/>
      <c r="CP18" s="1161"/>
      <c r="CQ18" s="1161"/>
      <c r="CR18" s="1161"/>
      <c r="CS18" s="1161"/>
      <c r="CT18" s="1161"/>
      <c r="CU18" s="1161"/>
      <c r="CV18" s="1161"/>
      <c r="CW18" s="1161"/>
      <c r="CX18" s="1161"/>
      <c r="CY18" s="1161"/>
      <c r="CZ18" s="1161"/>
      <c r="DA18" s="1161"/>
      <c r="DB18" s="1161"/>
      <c r="DC18" s="1161"/>
      <c r="DD18" s="1161"/>
      <c r="DE18" s="1161"/>
      <c r="DF18" s="1161"/>
      <c r="DG18" s="1161"/>
      <c r="DH18" s="1161"/>
      <c r="DI18" s="1161"/>
      <c r="DJ18" s="1161"/>
      <c r="DK18" s="1161"/>
      <c r="DL18" s="1161"/>
      <c r="DM18" s="1161"/>
      <c r="DN18" s="1161"/>
    </row>
    <row r="19" spans="1:118" x14ac:dyDescent="0.3">
      <c r="A19" s="1191" t="s">
        <v>1204</v>
      </c>
      <c r="B19" s="1192">
        <v>1.0923400000000001</v>
      </c>
      <c r="C19" s="1192">
        <f>1.351+0.067</f>
        <v>1.4179999999999999</v>
      </c>
      <c r="D19" s="1192">
        <v>0.83599999999999997</v>
      </c>
      <c r="E19" s="1193">
        <f>0.238+0.799</f>
        <v>1.0369999999999999</v>
      </c>
      <c r="F19" s="1192">
        <f>F12</f>
        <v>4.8</v>
      </c>
      <c r="G19" s="1192">
        <f>E19+F19</f>
        <v>5.8369999999999997</v>
      </c>
      <c r="H19" s="1193">
        <f>0.238+0.824</f>
        <v>1.0619999999999998</v>
      </c>
      <c r="I19" s="1192">
        <f>I12</f>
        <v>3.1</v>
      </c>
      <c r="J19" s="1192">
        <f>H19+I19</f>
        <v>4.1619999999999999</v>
      </c>
      <c r="K19" s="1192">
        <f>0.248+0.819</f>
        <v>1.0669999999999999</v>
      </c>
      <c r="L19" s="1192">
        <f>L12</f>
        <v>3.1</v>
      </c>
      <c r="M19" s="1192">
        <f>K19+L19</f>
        <v>4.1669999999999998</v>
      </c>
      <c r="N19" s="1192">
        <f>0.248+0.819</f>
        <v>1.0669999999999999</v>
      </c>
      <c r="O19" s="1192">
        <f>O12</f>
        <v>3.1</v>
      </c>
      <c r="P19" s="1192">
        <f>N19+O19</f>
        <v>4.1669999999999998</v>
      </c>
      <c r="Q19" s="1160"/>
      <c r="R19" s="1194"/>
      <c r="S19" s="1194"/>
      <c r="T19" s="1194"/>
      <c r="U19" s="1161"/>
      <c r="V19" s="1161"/>
      <c r="W19" s="1161"/>
      <c r="X19" s="1161"/>
      <c r="Y19" s="1161"/>
      <c r="Z19" s="1161"/>
      <c r="AA19" s="1161"/>
      <c r="AB19" s="1161"/>
      <c r="AC19" s="1161"/>
      <c r="AD19" s="1161"/>
      <c r="AE19" s="1161"/>
      <c r="AF19" s="1161"/>
      <c r="AG19" s="1161"/>
      <c r="AH19" s="1161"/>
      <c r="AI19" s="1161"/>
      <c r="AJ19" s="1161"/>
      <c r="AK19" s="1161"/>
      <c r="AL19" s="1161"/>
      <c r="AM19" s="1161"/>
      <c r="AN19" s="1161"/>
      <c r="AO19" s="1161"/>
      <c r="AP19" s="1161"/>
      <c r="AQ19" s="1161"/>
      <c r="AR19" s="1161"/>
      <c r="AS19" s="1161"/>
      <c r="AT19" s="1161"/>
      <c r="AU19" s="1161"/>
      <c r="AV19" s="1161"/>
      <c r="AW19" s="1161"/>
      <c r="AX19" s="1161"/>
      <c r="AY19" s="1161"/>
      <c r="AZ19" s="1161"/>
      <c r="BA19" s="1161"/>
      <c r="BB19" s="1161"/>
      <c r="BC19" s="1161"/>
      <c r="BD19" s="1161"/>
      <c r="BE19" s="1161"/>
      <c r="BF19" s="1161"/>
      <c r="BG19" s="1161"/>
      <c r="BH19" s="1161"/>
      <c r="BI19" s="1161"/>
      <c r="BJ19" s="1161"/>
      <c r="BK19" s="1161"/>
      <c r="BL19" s="1161"/>
      <c r="BM19" s="1161"/>
      <c r="BN19" s="1161"/>
      <c r="BO19" s="1161"/>
      <c r="BP19" s="1161"/>
      <c r="BQ19" s="1161"/>
      <c r="BR19" s="1161"/>
      <c r="BS19" s="1161"/>
      <c r="BT19" s="1161"/>
      <c r="BU19" s="1161"/>
      <c r="BV19" s="1161"/>
      <c r="BW19" s="1161"/>
      <c r="BX19" s="1161"/>
      <c r="BY19" s="1161"/>
      <c r="BZ19" s="1161"/>
      <c r="CA19" s="1161"/>
      <c r="CB19" s="1161"/>
      <c r="CC19" s="1161"/>
      <c r="CD19" s="1161"/>
      <c r="CE19" s="1161"/>
      <c r="CF19" s="1161"/>
      <c r="CG19" s="1161"/>
      <c r="CH19" s="1161"/>
      <c r="CI19" s="1161"/>
      <c r="CJ19" s="1161"/>
      <c r="CK19" s="1161"/>
      <c r="CL19" s="1161"/>
      <c r="CM19" s="1161"/>
      <c r="CN19" s="1161"/>
      <c r="CO19" s="1161"/>
      <c r="CP19" s="1161"/>
      <c r="CQ19" s="1161"/>
      <c r="CR19" s="1161"/>
      <c r="CS19" s="1161"/>
      <c r="CT19" s="1161"/>
      <c r="CU19" s="1161"/>
      <c r="CV19" s="1161"/>
      <c r="CW19" s="1161"/>
      <c r="CX19" s="1161"/>
      <c r="CY19" s="1161"/>
      <c r="CZ19" s="1161"/>
      <c r="DA19" s="1161"/>
      <c r="DB19" s="1161"/>
      <c r="DC19" s="1161"/>
      <c r="DD19" s="1161"/>
      <c r="DE19" s="1161"/>
      <c r="DF19" s="1161"/>
      <c r="DG19" s="1161"/>
      <c r="DH19" s="1161"/>
      <c r="DI19" s="1161"/>
      <c r="DJ19" s="1161"/>
      <c r="DK19" s="1161"/>
      <c r="DL19" s="1161"/>
      <c r="DM19" s="1161"/>
      <c r="DN19" s="1161"/>
    </row>
    <row r="20" spans="1:118" s="1143" customFormat="1" ht="15" customHeight="1" x14ac:dyDescent="0.3">
      <c r="A20" s="1191" t="s">
        <v>1205</v>
      </c>
      <c r="B20" s="1192">
        <f t="shared" ref="B20:O20" si="21">SUM(B16:B19)</f>
        <v>200.93997200000004</v>
      </c>
      <c r="C20" s="1192">
        <f t="shared" si="21"/>
        <v>208.03215699999998</v>
      </c>
      <c r="D20" s="1195">
        <f t="shared" si="21"/>
        <v>287.06299999999999</v>
      </c>
      <c r="E20" s="1195">
        <f t="shared" si="21"/>
        <v>331.83900000000006</v>
      </c>
      <c r="F20" s="1195">
        <f t="shared" si="21"/>
        <v>-8.6999999999999993</v>
      </c>
      <c r="G20" s="1195">
        <f t="shared" si="17"/>
        <v>323.13900000000007</v>
      </c>
      <c r="H20" s="1195">
        <f t="shared" si="21"/>
        <v>352.86500000000001</v>
      </c>
      <c r="I20" s="1195">
        <f t="shared" si="21"/>
        <v>-35.4</v>
      </c>
      <c r="J20" s="1195">
        <f t="shared" si="18"/>
        <v>317.46500000000003</v>
      </c>
      <c r="K20" s="1195">
        <f t="shared" si="21"/>
        <v>312.87</v>
      </c>
      <c r="L20" s="1195">
        <f t="shared" si="21"/>
        <v>-35.4</v>
      </c>
      <c r="M20" s="1195">
        <f t="shared" si="19"/>
        <v>277.47000000000003</v>
      </c>
      <c r="N20" s="1195">
        <f t="shared" si="21"/>
        <v>312.87</v>
      </c>
      <c r="O20" s="1195">
        <f t="shared" si="21"/>
        <v>-35.4</v>
      </c>
      <c r="P20" s="1195">
        <f t="shared" si="20"/>
        <v>277.47000000000003</v>
      </c>
      <c r="Q20" s="1196" t="s">
        <v>1206</v>
      </c>
      <c r="R20" s="1197"/>
      <c r="S20" s="1197"/>
      <c r="T20" s="1197"/>
      <c r="U20" s="1197"/>
      <c r="V20" s="1197"/>
      <c r="W20" s="1197"/>
      <c r="X20" s="1197"/>
      <c r="Y20" s="1197"/>
      <c r="Z20" s="1197"/>
      <c r="AA20" s="1197"/>
      <c r="AB20" s="1197"/>
      <c r="AC20" s="1197"/>
      <c r="AD20" s="1197"/>
      <c r="AE20" s="1197"/>
      <c r="AF20" s="1197"/>
      <c r="AG20" s="1197"/>
      <c r="AH20" s="1197"/>
      <c r="AI20" s="1197"/>
      <c r="AJ20" s="1197"/>
      <c r="AK20" s="1197"/>
      <c r="AL20" s="1197"/>
      <c r="AM20" s="1197"/>
      <c r="AN20" s="1197"/>
      <c r="AO20" s="1197"/>
      <c r="AP20" s="1197"/>
      <c r="AQ20" s="1197"/>
      <c r="AR20" s="1197"/>
      <c r="AS20" s="1197"/>
      <c r="AT20" s="1197"/>
      <c r="AU20" s="1197"/>
      <c r="AV20" s="1197"/>
      <c r="AW20" s="1197"/>
      <c r="AX20" s="1197"/>
      <c r="AY20" s="1197"/>
      <c r="AZ20" s="1197"/>
      <c r="BA20" s="1197"/>
      <c r="BB20" s="1197"/>
      <c r="BC20" s="1197"/>
      <c r="BD20" s="1197"/>
      <c r="BE20" s="1197"/>
      <c r="BF20" s="1197"/>
      <c r="BG20" s="1197"/>
      <c r="BH20" s="1197"/>
      <c r="BI20" s="1197"/>
      <c r="BJ20" s="1197"/>
      <c r="BK20" s="1197"/>
      <c r="BL20" s="1197"/>
      <c r="BM20" s="1197"/>
      <c r="BN20" s="1197"/>
      <c r="BO20" s="1197"/>
      <c r="BP20" s="1197"/>
      <c r="BQ20" s="1197"/>
      <c r="BR20" s="1197"/>
      <c r="BS20" s="1197"/>
      <c r="BT20" s="1197"/>
      <c r="BU20" s="1197"/>
      <c r="BV20" s="1197"/>
      <c r="BW20" s="1197"/>
      <c r="BX20" s="1197"/>
      <c r="BY20" s="1197"/>
      <c r="BZ20" s="1197"/>
      <c r="CA20" s="1197"/>
      <c r="CB20" s="1197"/>
      <c r="CC20" s="1197"/>
      <c r="CD20" s="1197"/>
      <c r="CE20" s="1197"/>
      <c r="CF20" s="1197"/>
      <c r="CG20" s="1197"/>
      <c r="CH20" s="1197"/>
      <c r="CI20" s="1197"/>
      <c r="CJ20" s="1197"/>
      <c r="CK20" s="1197"/>
      <c r="CL20" s="1197"/>
      <c r="CM20" s="1197"/>
      <c r="CN20" s="1197"/>
      <c r="CO20" s="1197"/>
      <c r="CP20" s="1197"/>
      <c r="CQ20" s="1197"/>
      <c r="CR20" s="1197"/>
      <c r="CS20" s="1197"/>
      <c r="CT20" s="1197"/>
      <c r="CU20" s="1197"/>
      <c r="CV20" s="1197"/>
      <c r="CW20" s="1197"/>
      <c r="CX20" s="1197"/>
      <c r="CY20" s="1197"/>
      <c r="CZ20" s="1197"/>
      <c r="DA20" s="1197"/>
      <c r="DB20" s="1197"/>
      <c r="DC20" s="1197"/>
      <c r="DD20" s="1197"/>
      <c r="DE20" s="1197"/>
      <c r="DF20" s="1197"/>
      <c r="DG20" s="1197"/>
      <c r="DH20" s="1197"/>
      <c r="DI20" s="1197"/>
      <c r="DJ20" s="1197"/>
      <c r="DK20" s="1197"/>
      <c r="DL20" s="1197"/>
      <c r="DM20" s="1197"/>
      <c r="DN20" s="1197"/>
    </row>
    <row r="21" spans="1:118" s="1143" customFormat="1" ht="9" customHeight="1" x14ac:dyDescent="0.3">
      <c r="A21" s="1198"/>
      <c r="B21" s="1199"/>
      <c r="C21" s="1199"/>
      <c r="D21" s="1199"/>
      <c r="E21" s="1199"/>
      <c r="F21" s="1199"/>
      <c r="G21" s="1199"/>
      <c r="H21" s="1200"/>
      <c r="I21" s="1200"/>
      <c r="J21" s="1199"/>
      <c r="K21" s="1200"/>
      <c r="L21" s="1200"/>
      <c r="M21" s="1199"/>
      <c r="N21" s="1200"/>
      <c r="O21" s="1200"/>
      <c r="P21" s="1199"/>
      <c r="Q21" s="1197"/>
      <c r="R21" s="1197"/>
      <c r="S21" s="1197"/>
      <c r="T21" s="1197"/>
      <c r="U21" s="1197"/>
      <c r="V21" s="1197"/>
      <c r="W21" s="1197"/>
      <c r="X21" s="1197"/>
      <c r="Y21" s="1197"/>
      <c r="Z21" s="1197"/>
      <c r="AA21" s="1197"/>
      <c r="AB21" s="1197"/>
      <c r="AC21" s="1197"/>
      <c r="AD21" s="1197"/>
      <c r="AE21" s="1197"/>
      <c r="AF21" s="1197"/>
      <c r="AG21" s="1197"/>
      <c r="AH21" s="1197"/>
      <c r="AI21" s="1197"/>
      <c r="AJ21" s="1197"/>
      <c r="AK21" s="1197"/>
      <c r="AL21" s="1197"/>
      <c r="AM21" s="1197"/>
      <c r="AN21" s="1197"/>
      <c r="AO21" s="1197"/>
      <c r="AP21" s="1197"/>
      <c r="AQ21" s="1197"/>
      <c r="AR21" s="1197"/>
      <c r="AS21" s="1197"/>
      <c r="AT21" s="1197"/>
      <c r="AU21" s="1197"/>
      <c r="AV21" s="1197"/>
      <c r="AW21" s="1197"/>
      <c r="AX21" s="1197"/>
      <c r="AY21" s="1197"/>
      <c r="AZ21" s="1197"/>
      <c r="BA21" s="1197"/>
      <c r="BB21" s="1197"/>
      <c r="BC21" s="1197"/>
      <c r="BD21" s="1197"/>
      <c r="BE21" s="1197"/>
      <c r="BF21" s="1197"/>
      <c r="BG21" s="1197"/>
      <c r="BH21" s="1197"/>
      <c r="BI21" s="1197"/>
      <c r="BJ21" s="1197"/>
      <c r="BK21" s="1197"/>
      <c r="BL21" s="1197"/>
      <c r="BM21" s="1197"/>
      <c r="BN21" s="1197"/>
      <c r="BO21" s="1197"/>
      <c r="BP21" s="1197"/>
      <c r="BQ21" s="1197"/>
      <c r="BR21" s="1197"/>
      <c r="BS21" s="1197"/>
      <c r="BT21" s="1197"/>
      <c r="BU21" s="1197"/>
      <c r="BV21" s="1197"/>
      <c r="BW21" s="1197"/>
      <c r="BX21" s="1197"/>
      <c r="BY21" s="1197"/>
      <c r="BZ21" s="1197"/>
      <c r="CA21" s="1197"/>
      <c r="CB21" s="1197"/>
      <c r="CC21" s="1197"/>
      <c r="CD21" s="1197"/>
      <c r="CE21" s="1197"/>
      <c r="CF21" s="1197"/>
      <c r="CG21" s="1197"/>
      <c r="CH21" s="1197"/>
      <c r="CI21" s="1197"/>
      <c r="CJ21" s="1197"/>
      <c r="CK21" s="1197"/>
      <c r="CL21" s="1197"/>
      <c r="CM21" s="1197"/>
      <c r="CN21" s="1197"/>
      <c r="CO21" s="1197"/>
      <c r="CP21" s="1197"/>
      <c r="CQ21" s="1197"/>
      <c r="CR21" s="1197"/>
      <c r="CS21" s="1197"/>
      <c r="CT21" s="1197"/>
      <c r="CU21" s="1197"/>
      <c r="CV21" s="1197"/>
      <c r="CW21" s="1197"/>
      <c r="CX21" s="1197"/>
      <c r="CY21" s="1197"/>
      <c r="CZ21" s="1197"/>
      <c r="DA21" s="1197"/>
      <c r="DB21" s="1197"/>
      <c r="DC21" s="1197"/>
      <c r="DD21" s="1197"/>
      <c r="DE21" s="1197"/>
      <c r="DF21" s="1197"/>
      <c r="DG21" s="1197"/>
      <c r="DH21" s="1197"/>
      <c r="DI21" s="1197"/>
      <c r="DJ21" s="1197"/>
      <c r="DK21" s="1197"/>
      <c r="DL21" s="1197"/>
      <c r="DM21" s="1197"/>
      <c r="DN21" s="1197"/>
    </row>
    <row r="22" spans="1:118" ht="13.5" x14ac:dyDescent="0.35">
      <c r="A22" s="1177" t="s">
        <v>1207</v>
      </c>
      <c r="B22" s="1178">
        <f t="shared" ref="B22:P22" si="22">SUM(B24:B25)</f>
        <v>69.674425999999997</v>
      </c>
      <c r="C22" s="1201">
        <f t="shared" si="22"/>
        <v>88.350743999999992</v>
      </c>
      <c r="D22" s="1201">
        <f t="shared" si="22"/>
        <v>67.694145999999989</v>
      </c>
      <c r="E22" s="1202">
        <f t="shared" si="22"/>
        <v>61.547812</v>
      </c>
      <c r="F22" s="1201">
        <f t="shared" si="22"/>
        <v>0</v>
      </c>
      <c r="G22" s="1201">
        <f t="shared" si="22"/>
        <v>61.547812</v>
      </c>
      <c r="H22" s="1202">
        <f t="shared" si="22"/>
        <v>10.995839</v>
      </c>
      <c r="I22" s="1201">
        <f t="shared" si="22"/>
        <v>60</v>
      </c>
      <c r="J22" s="1201">
        <f t="shared" si="22"/>
        <v>70.995839000000004</v>
      </c>
      <c r="K22" s="1201">
        <f t="shared" si="22"/>
        <v>0</v>
      </c>
      <c r="L22" s="1201">
        <f t="shared" si="22"/>
        <v>50</v>
      </c>
      <c r="M22" s="1201">
        <f t="shared" si="22"/>
        <v>50</v>
      </c>
      <c r="N22" s="1201">
        <f t="shared" si="22"/>
        <v>0</v>
      </c>
      <c r="O22" s="1201">
        <f t="shared" si="22"/>
        <v>10</v>
      </c>
      <c r="P22" s="1201">
        <f t="shared" si="22"/>
        <v>10</v>
      </c>
      <c r="Q22" s="1161"/>
      <c r="R22" s="1161"/>
      <c r="S22" s="1161"/>
      <c r="T22" s="1161"/>
      <c r="U22" s="1161"/>
      <c r="V22" s="1161"/>
      <c r="W22" s="1161"/>
      <c r="X22" s="1161"/>
      <c r="Y22" s="1161"/>
      <c r="Z22" s="1161"/>
      <c r="AA22" s="1161"/>
      <c r="AB22" s="1161"/>
      <c r="AC22" s="1161"/>
      <c r="AD22" s="1161"/>
      <c r="AE22" s="1161"/>
      <c r="AF22" s="1161"/>
      <c r="AG22" s="1161"/>
      <c r="AH22" s="1161"/>
      <c r="AI22" s="1161"/>
      <c r="AJ22" s="1161"/>
      <c r="AK22" s="1161"/>
      <c r="AL22" s="1161"/>
      <c r="AM22" s="1161"/>
      <c r="AN22" s="1161"/>
      <c r="AO22" s="1161"/>
      <c r="AP22" s="1161"/>
      <c r="AQ22" s="1161"/>
      <c r="AR22" s="1161"/>
      <c r="AS22" s="1161"/>
      <c r="AT22" s="1161"/>
      <c r="AU22" s="1161"/>
      <c r="AV22" s="1161"/>
      <c r="AW22" s="1161"/>
      <c r="AX22" s="1161"/>
      <c r="AY22" s="1161"/>
      <c r="AZ22" s="1161"/>
      <c r="BA22" s="1161"/>
      <c r="BB22" s="1161"/>
      <c r="BC22" s="1161"/>
      <c r="BD22" s="1161"/>
      <c r="BE22" s="1161"/>
      <c r="BF22" s="1161"/>
      <c r="BG22" s="1161"/>
      <c r="BH22" s="1161"/>
      <c r="BI22" s="1161"/>
      <c r="BJ22" s="1161"/>
      <c r="BK22" s="1161"/>
      <c r="BL22" s="1161"/>
      <c r="BM22" s="1161"/>
      <c r="BN22" s="1161"/>
      <c r="BO22" s="1161"/>
      <c r="BP22" s="1161"/>
      <c r="BQ22" s="1161"/>
      <c r="BR22" s="1161"/>
      <c r="BS22" s="1161"/>
      <c r="BT22" s="1161"/>
      <c r="BU22" s="1161"/>
      <c r="BV22" s="1161"/>
      <c r="BW22" s="1161"/>
      <c r="BX22" s="1161"/>
      <c r="BY22" s="1161"/>
      <c r="BZ22" s="1161"/>
      <c r="CA22" s="1161"/>
      <c r="CB22" s="1161"/>
      <c r="CC22" s="1161"/>
      <c r="CD22" s="1161"/>
      <c r="CE22" s="1161"/>
      <c r="CF22" s="1161"/>
      <c r="CG22" s="1161"/>
      <c r="CH22" s="1161"/>
      <c r="CI22" s="1161"/>
      <c r="CJ22" s="1161"/>
      <c r="CK22" s="1161"/>
      <c r="CL22" s="1161"/>
      <c r="CM22" s="1161"/>
      <c r="CN22" s="1161"/>
      <c r="CO22" s="1161"/>
      <c r="CP22" s="1161"/>
      <c r="CQ22" s="1161"/>
      <c r="CR22" s="1161"/>
      <c r="CS22" s="1161"/>
      <c r="CT22" s="1161"/>
      <c r="CU22" s="1161"/>
      <c r="CV22" s="1161"/>
      <c r="CW22" s="1161"/>
      <c r="CX22" s="1161"/>
      <c r="CY22" s="1161"/>
      <c r="CZ22" s="1161"/>
      <c r="DA22" s="1161"/>
      <c r="DB22" s="1161"/>
      <c r="DC22" s="1161"/>
      <c r="DD22" s="1161"/>
      <c r="DE22" s="1161"/>
      <c r="DF22" s="1161"/>
      <c r="DG22" s="1161"/>
      <c r="DH22" s="1161"/>
      <c r="DI22" s="1161"/>
      <c r="DJ22" s="1161"/>
      <c r="DK22" s="1161"/>
      <c r="DL22" s="1161"/>
      <c r="DM22" s="1161"/>
      <c r="DN22" s="1161"/>
    </row>
    <row r="23" spans="1:118" x14ac:dyDescent="0.3">
      <c r="A23" s="1203" t="s">
        <v>1198</v>
      </c>
      <c r="B23" s="1182"/>
      <c r="C23" s="1182"/>
      <c r="D23" s="1204"/>
      <c r="E23" s="1204"/>
      <c r="F23" s="1204"/>
      <c r="G23" s="1204"/>
      <c r="H23" s="1204"/>
      <c r="I23" s="1200"/>
      <c r="J23" s="1204"/>
      <c r="K23" s="1204"/>
      <c r="L23" s="1200"/>
      <c r="M23" s="1204"/>
      <c r="N23" s="1204"/>
      <c r="O23" s="1200"/>
      <c r="P23" s="1204"/>
      <c r="Q23" s="1161"/>
      <c r="R23" s="1161"/>
      <c r="S23" s="1161"/>
      <c r="T23" s="1161"/>
      <c r="U23" s="1161"/>
      <c r="V23" s="1161"/>
      <c r="W23" s="1161"/>
      <c r="X23" s="1161"/>
      <c r="Y23" s="1161"/>
      <c r="Z23" s="1161"/>
      <c r="AA23" s="1161"/>
      <c r="AB23" s="1161"/>
      <c r="AC23" s="1161"/>
      <c r="AD23" s="1161"/>
      <c r="AE23" s="1161"/>
      <c r="AF23" s="1161"/>
      <c r="AG23" s="1161"/>
      <c r="AH23" s="1161"/>
      <c r="AI23" s="1161"/>
      <c r="AJ23" s="1161"/>
      <c r="AK23" s="1161"/>
      <c r="AL23" s="1161"/>
      <c r="AM23" s="1161"/>
      <c r="AN23" s="1161"/>
      <c r="AO23" s="1161"/>
      <c r="AP23" s="1161"/>
      <c r="AQ23" s="1161"/>
      <c r="AR23" s="1161"/>
      <c r="AS23" s="1161"/>
      <c r="AT23" s="1161"/>
      <c r="AU23" s="1161"/>
      <c r="AV23" s="1161"/>
      <c r="AW23" s="1161"/>
      <c r="AX23" s="1161"/>
      <c r="AY23" s="1161"/>
      <c r="AZ23" s="1161"/>
      <c r="BA23" s="1161"/>
      <c r="BB23" s="1161"/>
      <c r="BC23" s="1161"/>
      <c r="BD23" s="1161"/>
      <c r="BE23" s="1161"/>
      <c r="BF23" s="1161"/>
      <c r="BG23" s="1161"/>
      <c r="BH23" s="1161"/>
      <c r="BI23" s="1161"/>
      <c r="BJ23" s="1161"/>
      <c r="BK23" s="1161"/>
      <c r="BL23" s="1161"/>
      <c r="BM23" s="1161"/>
      <c r="BN23" s="1161"/>
      <c r="BO23" s="1161"/>
      <c r="BP23" s="1161"/>
      <c r="BQ23" s="1161"/>
      <c r="BR23" s="1161"/>
      <c r="BS23" s="1161"/>
      <c r="BT23" s="1161"/>
      <c r="BU23" s="1161"/>
      <c r="BV23" s="1161"/>
      <c r="BW23" s="1161"/>
      <c r="BX23" s="1161"/>
      <c r="BY23" s="1161"/>
      <c r="BZ23" s="1161"/>
      <c r="CA23" s="1161"/>
      <c r="CB23" s="1161"/>
      <c r="CC23" s="1161"/>
      <c r="CD23" s="1161"/>
      <c r="CE23" s="1161"/>
      <c r="CF23" s="1161"/>
      <c r="CG23" s="1161"/>
      <c r="CH23" s="1161"/>
      <c r="CI23" s="1161"/>
      <c r="CJ23" s="1161"/>
      <c r="CK23" s="1161"/>
      <c r="CL23" s="1161"/>
      <c r="CM23" s="1161"/>
      <c r="CN23" s="1161"/>
      <c r="CO23" s="1161"/>
      <c r="CP23" s="1161"/>
      <c r="CQ23" s="1161"/>
      <c r="CR23" s="1161"/>
      <c r="CS23" s="1161"/>
      <c r="CT23" s="1161"/>
      <c r="CU23" s="1161"/>
      <c r="CV23" s="1161"/>
      <c r="CW23" s="1161"/>
      <c r="CX23" s="1161"/>
      <c r="CY23" s="1161"/>
      <c r="CZ23" s="1161"/>
      <c r="DA23" s="1161"/>
      <c r="DB23" s="1161"/>
      <c r="DC23" s="1161"/>
      <c r="DD23" s="1161"/>
      <c r="DE23" s="1161"/>
      <c r="DF23" s="1161"/>
      <c r="DG23" s="1161"/>
      <c r="DH23" s="1161"/>
      <c r="DI23" s="1161"/>
      <c r="DJ23" s="1161"/>
      <c r="DK23" s="1161"/>
      <c r="DL23" s="1161"/>
      <c r="DM23" s="1161"/>
      <c r="DN23" s="1161"/>
    </row>
    <row r="24" spans="1:118" x14ac:dyDescent="0.3">
      <c r="A24" s="1188" t="s">
        <v>1208</v>
      </c>
      <c r="B24" s="1205">
        <v>29.335584999999998</v>
      </c>
      <c r="C24" s="1186">
        <f>38.860444-2</f>
        <v>36.860444000000001</v>
      </c>
      <c r="D24" s="1186">
        <f>20.77341+1.1</f>
        <v>21.87341</v>
      </c>
      <c r="E24" s="1206">
        <v>14.797812</v>
      </c>
      <c r="F24" s="1186"/>
      <c r="G24" s="1186">
        <f>E24</f>
        <v>14.797812</v>
      </c>
      <c r="H24" s="1206">
        <v>5.3858389999999998</v>
      </c>
      <c r="I24" s="1190"/>
      <c r="J24" s="1186">
        <f>H24+I24</f>
        <v>5.3858389999999998</v>
      </c>
      <c r="K24" s="1204"/>
      <c r="L24" s="1200"/>
      <c r="M24" s="1186">
        <f>K24+L24</f>
        <v>0</v>
      </c>
      <c r="N24" s="1204"/>
      <c r="O24" s="1200"/>
      <c r="P24" s="1186">
        <f>N24+O24</f>
        <v>0</v>
      </c>
      <c r="Q24" s="1160" t="s">
        <v>1209</v>
      </c>
    </row>
    <row r="25" spans="1:118" x14ac:dyDescent="0.3">
      <c r="A25" s="1188" t="s">
        <v>1210</v>
      </c>
      <c r="B25" s="1205">
        <f>48.838841-8.5</f>
        <v>40.338841000000002</v>
      </c>
      <c r="C25" s="1189">
        <v>51.490299999999998</v>
      </c>
      <c r="D25" s="1186">
        <v>45.820735999999997</v>
      </c>
      <c r="E25" s="1206">
        <v>46.75</v>
      </c>
      <c r="F25" s="1186"/>
      <c r="G25" s="1186">
        <f>E25</f>
        <v>46.75</v>
      </c>
      <c r="H25" s="1206">
        <v>5.61</v>
      </c>
      <c r="I25" s="1190">
        <v>60</v>
      </c>
      <c r="J25" s="1186">
        <f>H25+I25</f>
        <v>65.61</v>
      </c>
      <c r="K25" s="1207"/>
      <c r="L25" s="1190">
        <v>50</v>
      </c>
      <c r="M25" s="1186">
        <f>K25+L25</f>
        <v>50</v>
      </c>
      <c r="N25" s="1207"/>
      <c r="O25" s="1190">
        <v>10</v>
      </c>
      <c r="P25" s="1186">
        <f>N25+O25</f>
        <v>10</v>
      </c>
      <c r="Q25" s="1160" t="s">
        <v>1209</v>
      </c>
    </row>
    <row r="26" spans="1:118" ht="23.25" customHeight="1" x14ac:dyDescent="0.3">
      <c r="A26" s="1157" t="s">
        <v>1211</v>
      </c>
      <c r="B26" s="1208">
        <f t="shared" ref="B26" si="23">B22+B20+B8+B7</f>
        <v>300.32689800000003</v>
      </c>
      <c r="C26" s="1158">
        <f>C7+C16+C17+C19+C24+C25</f>
        <v>296.382901</v>
      </c>
      <c r="D26" s="1158">
        <f t="shared" ref="D26:O26" si="24">D7+D16+D17+D19+D24+D25</f>
        <v>305.31414599999999</v>
      </c>
      <c r="E26" s="1158">
        <f t="shared" si="24"/>
        <v>335.34381200000007</v>
      </c>
      <c r="F26" s="1158">
        <f t="shared" si="24"/>
        <v>-8.6999999999999993</v>
      </c>
      <c r="G26" s="1158">
        <f>E26</f>
        <v>335.34381200000007</v>
      </c>
      <c r="H26" s="1158">
        <f t="shared" si="24"/>
        <v>299.81783899999999</v>
      </c>
      <c r="I26" s="1159"/>
      <c r="J26" s="1158">
        <f>H26</f>
        <v>299.81783899999999</v>
      </c>
      <c r="K26" s="1158">
        <f t="shared" si="24"/>
        <v>248.827</v>
      </c>
      <c r="L26" s="1159">
        <f t="shared" si="24"/>
        <v>14.600000000000001</v>
      </c>
      <c r="M26" s="1158">
        <f>K26</f>
        <v>248.827</v>
      </c>
      <c r="N26" s="1158">
        <f t="shared" si="24"/>
        <v>248.827</v>
      </c>
      <c r="O26" s="1159">
        <f t="shared" si="24"/>
        <v>-25.4</v>
      </c>
      <c r="P26" s="1158">
        <f>N26</f>
        <v>248.827</v>
      </c>
      <c r="Q26" s="1160" t="s">
        <v>1212</v>
      </c>
    </row>
    <row r="27" spans="1:118" x14ac:dyDescent="0.3">
      <c r="A27" s="1172"/>
      <c r="B27" s="1209"/>
      <c r="C27" s="1210"/>
      <c r="D27" s="1161"/>
      <c r="E27" s="1161"/>
      <c r="F27" s="1161"/>
      <c r="G27" s="1161"/>
    </row>
    <row r="28" spans="1:118" x14ac:dyDescent="0.3">
      <c r="A28" s="1172"/>
      <c r="B28" s="1209"/>
      <c r="C28" s="1211"/>
      <c r="D28" s="1211"/>
      <c r="E28" s="1211"/>
      <c r="F28" s="1211"/>
      <c r="G28" s="1211"/>
    </row>
  </sheetData>
  <mergeCells count="2">
    <mergeCell ref="B6:K6"/>
    <mergeCell ref="C15:N15"/>
  </mergeCells>
  <printOptions horizontalCentered="1"/>
  <pageMargins left="0.15748031496062992" right="7.874015748031496E-2" top="0.27559055118110237" bottom="0.27559055118110237" header="0.11811023622047245" footer="0.15748031496062992"/>
  <pageSetup fitToHeight="0" orientation="landscape" r:id="rId1"/>
  <headerFooter alignWithMargins="0">
    <oddFooter>&amp;L&amp;8&amp;F
&amp;A&amp;R&amp;D</oddFooter>
  </headerFooter>
  <customProperties>
    <customPr name="EpmWorksheetKeyString_GUID" r:id="rId2"/>
  </customProperties>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M57"/>
  <sheetViews>
    <sheetView zoomScale="80" zoomScaleNormal="80" workbookViewId="0">
      <selection activeCell="N31" activeCellId="1" sqref="M34 N31"/>
    </sheetView>
  </sheetViews>
  <sheetFormatPr defaultRowHeight="14.5" x14ac:dyDescent="0.35"/>
  <cols>
    <col min="1" max="1" width="39.54296875" style="154" customWidth="1"/>
    <col min="2" max="2" width="6.7265625" style="167" customWidth="1"/>
    <col min="3" max="8" width="6.7265625" style="168" customWidth="1"/>
    <col min="9" max="9" width="51.26953125" style="346" customWidth="1"/>
    <col min="10" max="10" width="6.81640625" style="632" customWidth="1"/>
    <col min="11" max="11" width="5.7265625" style="632" customWidth="1"/>
    <col min="12" max="12" width="5.26953125" style="347" customWidth="1"/>
    <col min="13" max="13" width="15.453125" style="347" customWidth="1"/>
    <col min="14" max="241" width="9.1796875" style="53"/>
    <col min="242" max="242" width="39.7265625" style="53" customWidth="1"/>
    <col min="243" max="245" width="6.1796875" style="53" customWidth="1"/>
    <col min="246" max="246" width="8.453125" style="53" bestFit="1" customWidth="1"/>
    <col min="247" max="247" width="12.54296875" style="53" bestFit="1" customWidth="1"/>
    <col min="248" max="248" width="27.26953125" style="53" bestFit="1" customWidth="1"/>
    <col min="249" max="249" width="9.1796875" style="53" customWidth="1"/>
    <col min="250" max="250" width="14.7265625" style="53" customWidth="1"/>
    <col min="251" max="251" width="11.7265625" style="53" customWidth="1"/>
    <col min="252" max="252" width="14.7265625" style="53" customWidth="1"/>
    <col min="253" max="253" width="11.7265625" style="53" customWidth="1"/>
    <col min="254" max="254" width="14.7265625" style="53" customWidth="1"/>
    <col min="255" max="255" width="11.7265625" style="53" customWidth="1"/>
    <col min="256" max="497" width="9.1796875" style="53"/>
    <col min="498" max="498" width="39.7265625" style="53" customWidth="1"/>
    <col min="499" max="501" width="6.1796875" style="53" customWidth="1"/>
    <col min="502" max="502" width="8.453125" style="53" bestFit="1" customWidth="1"/>
    <col min="503" max="503" width="12.54296875" style="53" bestFit="1" customWidth="1"/>
    <col min="504" max="504" width="27.26953125" style="53" bestFit="1" customWidth="1"/>
    <col min="505" max="505" width="9.1796875" style="53" customWidth="1"/>
    <col min="506" max="506" width="14.7265625" style="53" customWidth="1"/>
    <col min="507" max="507" width="11.7265625" style="53" customWidth="1"/>
    <col min="508" max="508" width="14.7265625" style="53" customWidth="1"/>
    <col min="509" max="509" width="11.7265625" style="53" customWidth="1"/>
    <col min="510" max="510" width="14.7265625" style="53" customWidth="1"/>
    <col min="511" max="511" width="11.7265625" style="53" customWidth="1"/>
    <col min="512" max="753" width="9.1796875" style="53"/>
    <col min="754" max="754" width="39.7265625" style="53" customWidth="1"/>
    <col min="755" max="757" width="6.1796875" style="53" customWidth="1"/>
    <col min="758" max="758" width="8.453125" style="53" bestFit="1" customWidth="1"/>
    <col min="759" max="759" width="12.54296875" style="53" bestFit="1" customWidth="1"/>
    <col min="760" max="760" width="27.26953125" style="53" bestFit="1" customWidth="1"/>
    <col min="761" max="761" width="9.1796875" style="53" customWidth="1"/>
    <col min="762" max="762" width="14.7265625" style="53" customWidth="1"/>
    <col min="763" max="763" width="11.7265625" style="53" customWidth="1"/>
    <col min="764" max="764" width="14.7265625" style="53" customWidth="1"/>
    <col min="765" max="765" width="11.7265625" style="53" customWidth="1"/>
    <col min="766" max="766" width="14.7265625" style="53" customWidth="1"/>
    <col min="767" max="767" width="11.7265625" style="53" customWidth="1"/>
    <col min="768" max="1009" width="9.1796875" style="53"/>
    <col min="1010" max="1010" width="39.7265625" style="53" customWidth="1"/>
    <col min="1011" max="1013" width="6.1796875" style="53" customWidth="1"/>
    <col min="1014" max="1014" width="8.453125" style="53" bestFit="1" customWidth="1"/>
    <col min="1015" max="1015" width="12.54296875" style="53" bestFit="1" customWidth="1"/>
    <col min="1016" max="1016" width="27.26953125" style="53" bestFit="1" customWidth="1"/>
    <col min="1017" max="1017" width="9.1796875" style="53" customWidth="1"/>
    <col min="1018" max="1018" width="14.7265625" style="53" customWidth="1"/>
    <col min="1019" max="1019" width="11.7265625" style="53" customWidth="1"/>
    <col min="1020" max="1020" width="14.7265625" style="53" customWidth="1"/>
    <col min="1021" max="1021" width="11.7265625" style="53" customWidth="1"/>
    <col min="1022" max="1022" width="14.7265625" style="53" customWidth="1"/>
    <col min="1023" max="1023" width="11.7265625" style="53" customWidth="1"/>
    <col min="1024" max="1265" width="9.1796875" style="53"/>
    <col min="1266" max="1266" width="39.7265625" style="53" customWidth="1"/>
    <col min="1267" max="1269" width="6.1796875" style="53" customWidth="1"/>
    <col min="1270" max="1270" width="8.453125" style="53" bestFit="1" customWidth="1"/>
    <col min="1271" max="1271" width="12.54296875" style="53" bestFit="1" customWidth="1"/>
    <col min="1272" max="1272" width="27.26953125" style="53" bestFit="1" customWidth="1"/>
    <col min="1273" max="1273" width="9.1796875" style="53" customWidth="1"/>
    <col min="1274" max="1274" width="14.7265625" style="53" customWidth="1"/>
    <col min="1275" max="1275" width="11.7265625" style="53" customWidth="1"/>
    <col min="1276" max="1276" width="14.7265625" style="53" customWidth="1"/>
    <col min="1277" max="1277" width="11.7265625" style="53" customWidth="1"/>
    <col min="1278" max="1278" width="14.7265625" style="53" customWidth="1"/>
    <col min="1279" max="1279" width="11.7265625" style="53" customWidth="1"/>
    <col min="1280" max="1521" width="9.1796875" style="53"/>
    <col min="1522" max="1522" width="39.7265625" style="53" customWidth="1"/>
    <col min="1523" max="1525" width="6.1796875" style="53" customWidth="1"/>
    <col min="1526" max="1526" width="8.453125" style="53" bestFit="1" customWidth="1"/>
    <col min="1527" max="1527" width="12.54296875" style="53" bestFit="1" customWidth="1"/>
    <col min="1528" max="1528" width="27.26953125" style="53" bestFit="1" customWidth="1"/>
    <col min="1529" max="1529" width="9.1796875" style="53" customWidth="1"/>
    <col min="1530" max="1530" width="14.7265625" style="53" customWidth="1"/>
    <col min="1531" max="1531" width="11.7265625" style="53" customWidth="1"/>
    <col min="1532" max="1532" width="14.7265625" style="53" customWidth="1"/>
    <col min="1533" max="1533" width="11.7265625" style="53" customWidth="1"/>
    <col min="1534" max="1534" width="14.7265625" style="53" customWidth="1"/>
    <col min="1535" max="1535" width="11.7265625" style="53" customWidth="1"/>
    <col min="1536" max="1777" width="9.1796875" style="53"/>
    <col min="1778" max="1778" width="39.7265625" style="53" customWidth="1"/>
    <col min="1779" max="1781" width="6.1796875" style="53" customWidth="1"/>
    <col min="1782" max="1782" width="8.453125" style="53" bestFit="1" customWidth="1"/>
    <col min="1783" max="1783" width="12.54296875" style="53" bestFit="1" customWidth="1"/>
    <col min="1784" max="1784" width="27.26953125" style="53" bestFit="1" customWidth="1"/>
    <col min="1785" max="1785" width="9.1796875" style="53" customWidth="1"/>
    <col min="1786" max="1786" width="14.7265625" style="53" customWidth="1"/>
    <col min="1787" max="1787" width="11.7265625" style="53" customWidth="1"/>
    <col min="1788" max="1788" width="14.7265625" style="53" customWidth="1"/>
    <col min="1789" max="1789" width="11.7265625" style="53" customWidth="1"/>
    <col min="1790" max="1790" width="14.7265625" style="53" customWidth="1"/>
    <col min="1791" max="1791" width="11.7265625" style="53" customWidth="1"/>
    <col min="1792" max="2033" width="9.1796875" style="53"/>
    <col min="2034" max="2034" width="39.7265625" style="53" customWidth="1"/>
    <col min="2035" max="2037" width="6.1796875" style="53" customWidth="1"/>
    <col min="2038" max="2038" width="8.453125" style="53" bestFit="1" customWidth="1"/>
    <col min="2039" max="2039" width="12.54296875" style="53" bestFit="1" customWidth="1"/>
    <col min="2040" max="2040" width="27.26953125" style="53" bestFit="1" customWidth="1"/>
    <col min="2041" max="2041" width="9.1796875" style="53" customWidth="1"/>
    <col min="2042" max="2042" width="14.7265625" style="53" customWidth="1"/>
    <col min="2043" max="2043" width="11.7265625" style="53" customWidth="1"/>
    <col min="2044" max="2044" width="14.7265625" style="53" customWidth="1"/>
    <col min="2045" max="2045" width="11.7265625" style="53" customWidth="1"/>
    <col min="2046" max="2046" width="14.7265625" style="53" customWidth="1"/>
    <col min="2047" max="2047" width="11.7265625" style="53" customWidth="1"/>
    <col min="2048" max="2289" width="9.1796875" style="53"/>
    <col min="2290" max="2290" width="39.7265625" style="53" customWidth="1"/>
    <col min="2291" max="2293" width="6.1796875" style="53" customWidth="1"/>
    <col min="2294" max="2294" width="8.453125" style="53" bestFit="1" customWidth="1"/>
    <col min="2295" max="2295" width="12.54296875" style="53" bestFit="1" customWidth="1"/>
    <col min="2296" max="2296" width="27.26953125" style="53" bestFit="1" customWidth="1"/>
    <col min="2297" max="2297" width="9.1796875" style="53" customWidth="1"/>
    <col min="2298" max="2298" width="14.7265625" style="53" customWidth="1"/>
    <col min="2299" max="2299" width="11.7265625" style="53" customWidth="1"/>
    <col min="2300" max="2300" width="14.7265625" style="53" customWidth="1"/>
    <col min="2301" max="2301" width="11.7265625" style="53" customWidth="1"/>
    <col min="2302" max="2302" width="14.7265625" style="53" customWidth="1"/>
    <col min="2303" max="2303" width="11.7265625" style="53" customWidth="1"/>
    <col min="2304" max="2545" width="9.1796875" style="53"/>
    <col min="2546" max="2546" width="39.7265625" style="53" customWidth="1"/>
    <col min="2547" max="2549" width="6.1796875" style="53" customWidth="1"/>
    <col min="2550" max="2550" width="8.453125" style="53" bestFit="1" customWidth="1"/>
    <col min="2551" max="2551" width="12.54296875" style="53" bestFit="1" customWidth="1"/>
    <col min="2552" max="2552" width="27.26953125" style="53" bestFit="1" customWidth="1"/>
    <col min="2553" max="2553" width="9.1796875" style="53" customWidth="1"/>
    <col min="2554" max="2554" width="14.7265625" style="53" customWidth="1"/>
    <col min="2555" max="2555" width="11.7265625" style="53" customWidth="1"/>
    <col min="2556" max="2556" width="14.7265625" style="53" customWidth="1"/>
    <col min="2557" max="2557" width="11.7265625" style="53" customWidth="1"/>
    <col min="2558" max="2558" width="14.7265625" style="53" customWidth="1"/>
    <col min="2559" max="2559" width="11.7265625" style="53" customWidth="1"/>
    <col min="2560" max="2801" width="9.1796875" style="53"/>
    <col min="2802" max="2802" width="39.7265625" style="53" customWidth="1"/>
    <col min="2803" max="2805" width="6.1796875" style="53" customWidth="1"/>
    <col min="2806" max="2806" width="8.453125" style="53" bestFit="1" customWidth="1"/>
    <col min="2807" max="2807" width="12.54296875" style="53" bestFit="1" customWidth="1"/>
    <col min="2808" max="2808" width="27.26953125" style="53" bestFit="1" customWidth="1"/>
    <col min="2809" max="2809" width="9.1796875" style="53" customWidth="1"/>
    <col min="2810" max="2810" width="14.7265625" style="53" customWidth="1"/>
    <col min="2811" max="2811" width="11.7265625" style="53" customWidth="1"/>
    <col min="2812" max="2812" width="14.7265625" style="53" customWidth="1"/>
    <col min="2813" max="2813" width="11.7265625" style="53" customWidth="1"/>
    <col min="2814" max="2814" width="14.7265625" style="53" customWidth="1"/>
    <col min="2815" max="2815" width="11.7265625" style="53" customWidth="1"/>
    <col min="2816" max="3057" width="9.1796875" style="53"/>
    <col min="3058" max="3058" width="39.7265625" style="53" customWidth="1"/>
    <col min="3059" max="3061" width="6.1796875" style="53" customWidth="1"/>
    <col min="3062" max="3062" width="8.453125" style="53" bestFit="1" customWidth="1"/>
    <col min="3063" max="3063" width="12.54296875" style="53" bestFit="1" customWidth="1"/>
    <col min="3064" max="3064" width="27.26953125" style="53" bestFit="1" customWidth="1"/>
    <col min="3065" max="3065" width="9.1796875" style="53" customWidth="1"/>
    <col min="3066" max="3066" width="14.7265625" style="53" customWidth="1"/>
    <col min="3067" max="3067" width="11.7265625" style="53" customWidth="1"/>
    <col min="3068" max="3068" width="14.7265625" style="53" customWidth="1"/>
    <col min="3069" max="3069" width="11.7265625" style="53" customWidth="1"/>
    <col min="3070" max="3070" width="14.7265625" style="53" customWidth="1"/>
    <col min="3071" max="3071" width="11.7265625" style="53" customWidth="1"/>
    <col min="3072" max="3313" width="9.1796875" style="53"/>
    <col min="3314" max="3314" width="39.7265625" style="53" customWidth="1"/>
    <col min="3315" max="3317" width="6.1796875" style="53" customWidth="1"/>
    <col min="3318" max="3318" width="8.453125" style="53" bestFit="1" customWidth="1"/>
    <col min="3319" max="3319" width="12.54296875" style="53" bestFit="1" customWidth="1"/>
    <col min="3320" max="3320" width="27.26953125" style="53" bestFit="1" customWidth="1"/>
    <col min="3321" max="3321" width="9.1796875" style="53" customWidth="1"/>
    <col min="3322" max="3322" width="14.7265625" style="53" customWidth="1"/>
    <col min="3323" max="3323" width="11.7265625" style="53" customWidth="1"/>
    <col min="3324" max="3324" width="14.7265625" style="53" customWidth="1"/>
    <col min="3325" max="3325" width="11.7265625" style="53" customWidth="1"/>
    <col min="3326" max="3326" width="14.7265625" style="53" customWidth="1"/>
    <col min="3327" max="3327" width="11.7265625" style="53" customWidth="1"/>
    <col min="3328" max="3569" width="9.1796875" style="53"/>
    <col min="3570" max="3570" width="39.7265625" style="53" customWidth="1"/>
    <col min="3571" max="3573" width="6.1796875" style="53" customWidth="1"/>
    <col min="3574" max="3574" width="8.453125" style="53" bestFit="1" customWidth="1"/>
    <col min="3575" max="3575" width="12.54296875" style="53" bestFit="1" customWidth="1"/>
    <col min="3576" max="3576" width="27.26953125" style="53" bestFit="1" customWidth="1"/>
    <col min="3577" max="3577" width="9.1796875" style="53" customWidth="1"/>
    <col min="3578" max="3578" width="14.7265625" style="53" customWidth="1"/>
    <col min="3579" max="3579" width="11.7265625" style="53" customWidth="1"/>
    <col min="3580" max="3580" width="14.7265625" style="53" customWidth="1"/>
    <col min="3581" max="3581" width="11.7265625" style="53" customWidth="1"/>
    <col min="3582" max="3582" width="14.7265625" style="53" customWidth="1"/>
    <col min="3583" max="3583" width="11.7265625" style="53" customWidth="1"/>
    <col min="3584" max="3825" width="9.1796875" style="53"/>
    <col min="3826" max="3826" width="39.7265625" style="53" customWidth="1"/>
    <col min="3827" max="3829" width="6.1796875" style="53" customWidth="1"/>
    <col min="3830" max="3830" width="8.453125" style="53" bestFit="1" customWidth="1"/>
    <col min="3831" max="3831" width="12.54296875" style="53" bestFit="1" customWidth="1"/>
    <col min="3832" max="3832" width="27.26953125" style="53" bestFit="1" customWidth="1"/>
    <col min="3833" max="3833" width="9.1796875" style="53" customWidth="1"/>
    <col min="3834" max="3834" width="14.7265625" style="53" customWidth="1"/>
    <col min="3835" max="3835" width="11.7265625" style="53" customWidth="1"/>
    <col min="3836" max="3836" width="14.7265625" style="53" customWidth="1"/>
    <col min="3837" max="3837" width="11.7265625" style="53" customWidth="1"/>
    <col min="3838" max="3838" width="14.7265625" style="53" customWidth="1"/>
    <col min="3839" max="3839" width="11.7265625" style="53" customWidth="1"/>
    <col min="3840" max="4081" width="9.1796875" style="53"/>
    <col min="4082" max="4082" width="39.7265625" style="53" customWidth="1"/>
    <col min="4083" max="4085" width="6.1796875" style="53" customWidth="1"/>
    <col min="4086" max="4086" width="8.453125" style="53" bestFit="1" customWidth="1"/>
    <col min="4087" max="4087" width="12.54296875" style="53" bestFit="1" customWidth="1"/>
    <col min="4088" max="4088" width="27.26953125" style="53" bestFit="1" customWidth="1"/>
    <col min="4089" max="4089" width="9.1796875" style="53" customWidth="1"/>
    <col min="4090" max="4090" width="14.7265625" style="53" customWidth="1"/>
    <col min="4091" max="4091" width="11.7265625" style="53" customWidth="1"/>
    <col min="4092" max="4092" width="14.7265625" style="53" customWidth="1"/>
    <col min="4093" max="4093" width="11.7265625" style="53" customWidth="1"/>
    <col min="4094" max="4094" width="14.7265625" style="53" customWidth="1"/>
    <col min="4095" max="4095" width="11.7265625" style="53" customWidth="1"/>
    <col min="4096" max="4337" width="9.1796875" style="53"/>
    <col min="4338" max="4338" width="39.7265625" style="53" customWidth="1"/>
    <col min="4339" max="4341" width="6.1796875" style="53" customWidth="1"/>
    <col min="4342" max="4342" width="8.453125" style="53" bestFit="1" customWidth="1"/>
    <col min="4343" max="4343" width="12.54296875" style="53" bestFit="1" customWidth="1"/>
    <col min="4344" max="4344" width="27.26953125" style="53" bestFit="1" customWidth="1"/>
    <col min="4345" max="4345" width="9.1796875" style="53" customWidth="1"/>
    <col min="4346" max="4346" width="14.7265625" style="53" customWidth="1"/>
    <col min="4347" max="4347" width="11.7265625" style="53" customWidth="1"/>
    <col min="4348" max="4348" width="14.7265625" style="53" customWidth="1"/>
    <col min="4349" max="4349" width="11.7265625" style="53" customWidth="1"/>
    <col min="4350" max="4350" width="14.7265625" style="53" customWidth="1"/>
    <col min="4351" max="4351" width="11.7265625" style="53" customWidth="1"/>
    <col min="4352" max="4593" width="9.1796875" style="53"/>
    <col min="4594" max="4594" width="39.7265625" style="53" customWidth="1"/>
    <col min="4595" max="4597" width="6.1796875" style="53" customWidth="1"/>
    <col min="4598" max="4598" width="8.453125" style="53" bestFit="1" customWidth="1"/>
    <col min="4599" max="4599" width="12.54296875" style="53" bestFit="1" customWidth="1"/>
    <col min="4600" max="4600" width="27.26953125" style="53" bestFit="1" customWidth="1"/>
    <col min="4601" max="4601" width="9.1796875" style="53" customWidth="1"/>
    <col min="4602" max="4602" width="14.7265625" style="53" customWidth="1"/>
    <col min="4603" max="4603" width="11.7265625" style="53" customWidth="1"/>
    <col min="4604" max="4604" width="14.7265625" style="53" customWidth="1"/>
    <col min="4605" max="4605" width="11.7265625" style="53" customWidth="1"/>
    <col min="4606" max="4606" width="14.7265625" style="53" customWidth="1"/>
    <col min="4607" max="4607" width="11.7265625" style="53" customWidth="1"/>
    <col min="4608" max="4849" width="9.1796875" style="53"/>
    <col min="4850" max="4850" width="39.7265625" style="53" customWidth="1"/>
    <col min="4851" max="4853" width="6.1796875" style="53" customWidth="1"/>
    <col min="4854" max="4854" width="8.453125" style="53" bestFit="1" customWidth="1"/>
    <col min="4855" max="4855" width="12.54296875" style="53" bestFit="1" customWidth="1"/>
    <col min="4856" max="4856" width="27.26953125" style="53" bestFit="1" customWidth="1"/>
    <col min="4857" max="4857" width="9.1796875" style="53" customWidth="1"/>
    <col min="4858" max="4858" width="14.7265625" style="53" customWidth="1"/>
    <col min="4859" max="4859" width="11.7265625" style="53" customWidth="1"/>
    <col min="4860" max="4860" width="14.7265625" style="53" customWidth="1"/>
    <col min="4861" max="4861" width="11.7265625" style="53" customWidth="1"/>
    <col min="4862" max="4862" width="14.7265625" style="53" customWidth="1"/>
    <col min="4863" max="4863" width="11.7265625" style="53" customWidth="1"/>
    <col min="4864" max="5105" width="9.1796875" style="53"/>
    <col min="5106" max="5106" width="39.7265625" style="53" customWidth="1"/>
    <col min="5107" max="5109" width="6.1796875" style="53" customWidth="1"/>
    <col min="5110" max="5110" width="8.453125" style="53" bestFit="1" customWidth="1"/>
    <col min="5111" max="5111" width="12.54296875" style="53" bestFit="1" customWidth="1"/>
    <col min="5112" max="5112" width="27.26953125" style="53" bestFit="1" customWidth="1"/>
    <col min="5113" max="5113" width="9.1796875" style="53" customWidth="1"/>
    <col min="5114" max="5114" width="14.7265625" style="53" customWidth="1"/>
    <col min="5115" max="5115" width="11.7265625" style="53" customWidth="1"/>
    <col min="5116" max="5116" width="14.7265625" style="53" customWidth="1"/>
    <col min="5117" max="5117" width="11.7265625" style="53" customWidth="1"/>
    <col min="5118" max="5118" width="14.7265625" style="53" customWidth="1"/>
    <col min="5119" max="5119" width="11.7265625" style="53" customWidth="1"/>
    <col min="5120" max="5361" width="9.1796875" style="53"/>
    <col min="5362" max="5362" width="39.7265625" style="53" customWidth="1"/>
    <col min="5363" max="5365" width="6.1796875" style="53" customWidth="1"/>
    <col min="5366" max="5366" width="8.453125" style="53" bestFit="1" customWidth="1"/>
    <col min="5367" max="5367" width="12.54296875" style="53" bestFit="1" customWidth="1"/>
    <col min="5368" max="5368" width="27.26953125" style="53" bestFit="1" customWidth="1"/>
    <col min="5369" max="5369" width="9.1796875" style="53" customWidth="1"/>
    <col min="5370" max="5370" width="14.7265625" style="53" customWidth="1"/>
    <col min="5371" max="5371" width="11.7265625" style="53" customWidth="1"/>
    <col min="5372" max="5372" width="14.7265625" style="53" customWidth="1"/>
    <col min="5373" max="5373" width="11.7265625" style="53" customWidth="1"/>
    <col min="5374" max="5374" width="14.7265625" style="53" customWidth="1"/>
    <col min="5375" max="5375" width="11.7265625" style="53" customWidth="1"/>
    <col min="5376" max="5617" width="9.1796875" style="53"/>
    <col min="5618" max="5618" width="39.7265625" style="53" customWidth="1"/>
    <col min="5619" max="5621" width="6.1796875" style="53" customWidth="1"/>
    <col min="5622" max="5622" width="8.453125" style="53" bestFit="1" customWidth="1"/>
    <col min="5623" max="5623" width="12.54296875" style="53" bestFit="1" customWidth="1"/>
    <col min="5624" max="5624" width="27.26953125" style="53" bestFit="1" customWidth="1"/>
    <col min="5625" max="5625" width="9.1796875" style="53" customWidth="1"/>
    <col min="5626" max="5626" width="14.7265625" style="53" customWidth="1"/>
    <col min="5627" max="5627" width="11.7265625" style="53" customWidth="1"/>
    <col min="5628" max="5628" width="14.7265625" style="53" customWidth="1"/>
    <col min="5629" max="5629" width="11.7265625" style="53" customWidth="1"/>
    <col min="5630" max="5630" width="14.7265625" style="53" customWidth="1"/>
    <col min="5631" max="5631" width="11.7265625" style="53" customWidth="1"/>
    <col min="5632" max="5873" width="9.1796875" style="53"/>
    <col min="5874" max="5874" width="39.7265625" style="53" customWidth="1"/>
    <col min="5875" max="5877" width="6.1796875" style="53" customWidth="1"/>
    <col min="5878" max="5878" width="8.453125" style="53" bestFit="1" customWidth="1"/>
    <col min="5879" max="5879" width="12.54296875" style="53" bestFit="1" customWidth="1"/>
    <col min="5880" max="5880" width="27.26953125" style="53" bestFit="1" customWidth="1"/>
    <col min="5881" max="5881" width="9.1796875" style="53" customWidth="1"/>
    <col min="5882" max="5882" width="14.7265625" style="53" customWidth="1"/>
    <col min="5883" max="5883" width="11.7265625" style="53" customWidth="1"/>
    <col min="5884" max="5884" width="14.7265625" style="53" customWidth="1"/>
    <col min="5885" max="5885" width="11.7265625" style="53" customWidth="1"/>
    <col min="5886" max="5886" width="14.7265625" style="53" customWidth="1"/>
    <col min="5887" max="5887" width="11.7265625" style="53" customWidth="1"/>
    <col min="5888" max="6129" width="9.1796875" style="53"/>
    <col min="6130" max="6130" width="39.7265625" style="53" customWidth="1"/>
    <col min="6131" max="6133" width="6.1796875" style="53" customWidth="1"/>
    <col min="6134" max="6134" width="8.453125" style="53" bestFit="1" customWidth="1"/>
    <col min="6135" max="6135" width="12.54296875" style="53" bestFit="1" customWidth="1"/>
    <col min="6136" max="6136" width="27.26953125" style="53" bestFit="1" customWidth="1"/>
    <col min="6137" max="6137" width="9.1796875" style="53" customWidth="1"/>
    <col min="6138" max="6138" width="14.7265625" style="53" customWidth="1"/>
    <col min="6139" max="6139" width="11.7265625" style="53" customWidth="1"/>
    <col min="6140" max="6140" width="14.7265625" style="53" customWidth="1"/>
    <col min="6141" max="6141" width="11.7265625" style="53" customWidth="1"/>
    <col min="6142" max="6142" width="14.7265625" style="53" customWidth="1"/>
    <col min="6143" max="6143" width="11.7265625" style="53" customWidth="1"/>
    <col min="6144" max="6385" width="9.1796875" style="53"/>
    <col min="6386" max="6386" width="39.7265625" style="53" customWidth="1"/>
    <col min="6387" max="6389" width="6.1796875" style="53" customWidth="1"/>
    <col min="6390" max="6390" width="8.453125" style="53" bestFit="1" customWidth="1"/>
    <col min="6391" max="6391" width="12.54296875" style="53" bestFit="1" customWidth="1"/>
    <col min="6392" max="6392" width="27.26953125" style="53" bestFit="1" customWidth="1"/>
    <col min="6393" max="6393" width="9.1796875" style="53" customWidth="1"/>
    <col min="6394" max="6394" width="14.7265625" style="53" customWidth="1"/>
    <col min="6395" max="6395" width="11.7265625" style="53" customWidth="1"/>
    <col min="6396" max="6396" width="14.7265625" style="53" customWidth="1"/>
    <col min="6397" max="6397" width="11.7265625" style="53" customWidth="1"/>
    <col min="6398" max="6398" width="14.7265625" style="53" customWidth="1"/>
    <col min="6399" max="6399" width="11.7265625" style="53" customWidth="1"/>
    <col min="6400" max="6641" width="9.1796875" style="53"/>
    <col min="6642" max="6642" width="39.7265625" style="53" customWidth="1"/>
    <col min="6643" max="6645" width="6.1796875" style="53" customWidth="1"/>
    <col min="6646" max="6646" width="8.453125" style="53" bestFit="1" customWidth="1"/>
    <col min="6647" max="6647" width="12.54296875" style="53" bestFit="1" customWidth="1"/>
    <col min="6648" max="6648" width="27.26953125" style="53" bestFit="1" customWidth="1"/>
    <col min="6649" max="6649" width="9.1796875" style="53" customWidth="1"/>
    <col min="6650" max="6650" width="14.7265625" style="53" customWidth="1"/>
    <col min="6651" max="6651" width="11.7265625" style="53" customWidth="1"/>
    <col min="6652" max="6652" width="14.7265625" style="53" customWidth="1"/>
    <col min="6653" max="6653" width="11.7265625" style="53" customWidth="1"/>
    <col min="6654" max="6654" width="14.7265625" style="53" customWidth="1"/>
    <col min="6655" max="6655" width="11.7265625" style="53" customWidth="1"/>
    <col min="6656" max="6897" width="9.1796875" style="53"/>
    <col min="6898" max="6898" width="39.7265625" style="53" customWidth="1"/>
    <col min="6899" max="6901" width="6.1796875" style="53" customWidth="1"/>
    <col min="6902" max="6902" width="8.453125" style="53" bestFit="1" customWidth="1"/>
    <col min="6903" max="6903" width="12.54296875" style="53" bestFit="1" customWidth="1"/>
    <col min="6904" max="6904" width="27.26953125" style="53" bestFit="1" customWidth="1"/>
    <col min="6905" max="6905" width="9.1796875" style="53" customWidth="1"/>
    <col min="6906" max="6906" width="14.7265625" style="53" customWidth="1"/>
    <col min="6907" max="6907" width="11.7265625" style="53" customWidth="1"/>
    <col min="6908" max="6908" width="14.7265625" style="53" customWidth="1"/>
    <col min="6909" max="6909" width="11.7265625" style="53" customWidth="1"/>
    <col min="6910" max="6910" width="14.7265625" style="53" customWidth="1"/>
    <col min="6911" max="6911" width="11.7265625" style="53" customWidth="1"/>
    <col min="6912" max="7153" width="9.1796875" style="53"/>
    <col min="7154" max="7154" width="39.7265625" style="53" customWidth="1"/>
    <col min="7155" max="7157" width="6.1796875" style="53" customWidth="1"/>
    <col min="7158" max="7158" width="8.453125" style="53" bestFit="1" customWidth="1"/>
    <col min="7159" max="7159" width="12.54296875" style="53" bestFit="1" customWidth="1"/>
    <col min="7160" max="7160" width="27.26953125" style="53" bestFit="1" customWidth="1"/>
    <col min="7161" max="7161" width="9.1796875" style="53" customWidth="1"/>
    <col min="7162" max="7162" width="14.7265625" style="53" customWidth="1"/>
    <col min="7163" max="7163" width="11.7265625" style="53" customWidth="1"/>
    <col min="7164" max="7164" width="14.7265625" style="53" customWidth="1"/>
    <col min="7165" max="7165" width="11.7265625" style="53" customWidth="1"/>
    <col min="7166" max="7166" width="14.7265625" style="53" customWidth="1"/>
    <col min="7167" max="7167" width="11.7265625" style="53" customWidth="1"/>
    <col min="7168" max="7409" width="9.1796875" style="53"/>
    <col min="7410" max="7410" width="39.7265625" style="53" customWidth="1"/>
    <col min="7411" max="7413" width="6.1796875" style="53" customWidth="1"/>
    <col min="7414" max="7414" width="8.453125" style="53" bestFit="1" customWidth="1"/>
    <col min="7415" max="7415" width="12.54296875" style="53" bestFit="1" customWidth="1"/>
    <col min="7416" max="7416" width="27.26953125" style="53" bestFit="1" customWidth="1"/>
    <col min="7417" max="7417" width="9.1796875" style="53" customWidth="1"/>
    <col min="7418" max="7418" width="14.7265625" style="53" customWidth="1"/>
    <col min="7419" max="7419" width="11.7265625" style="53" customWidth="1"/>
    <col min="7420" max="7420" width="14.7265625" style="53" customWidth="1"/>
    <col min="7421" max="7421" width="11.7265625" style="53" customWidth="1"/>
    <col min="7422" max="7422" width="14.7265625" style="53" customWidth="1"/>
    <col min="7423" max="7423" width="11.7265625" style="53" customWidth="1"/>
    <col min="7424" max="7665" width="9.1796875" style="53"/>
    <col min="7666" max="7666" width="39.7265625" style="53" customWidth="1"/>
    <col min="7667" max="7669" width="6.1796875" style="53" customWidth="1"/>
    <col min="7670" max="7670" width="8.453125" style="53" bestFit="1" customWidth="1"/>
    <col min="7671" max="7671" width="12.54296875" style="53" bestFit="1" customWidth="1"/>
    <col min="7672" max="7672" width="27.26953125" style="53" bestFit="1" customWidth="1"/>
    <col min="7673" max="7673" width="9.1796875" style="53" customWidth="1"/>
    <col min="7674" max="7674" width="14.7265625" style="53" customWidth="1"/>
    <col min="7675" max="7675" width="11.7265625" style="53" customWidth="1"/>
    <col min="7676" max="7676" width="14.7265625" style="53" customWidth="1"/>
    <col min="7677" max="7677" width="11.7265625" style="53" customWidth="1"/>
    <col min="7678" max="7678" width="14.7265625" style="53" customWidth="1"/>
    <col min="7679" max="7679" width="11.7265625" style="53" customWidth="1"/>
    <col min="7680" max="7921" width="9.1796875" style="53"/>
    <col min="7922" max="7922" width="39.7265625" style="53" customWidth="1"/>
    <col min="7923" max="7925" width="6.1796875" style="53" customWidth="1"/>
    <col min="7926" max="7926" width="8.453125" style="53" bestFit="1" customWidth="1"/>
    <col min="7927" max="7927" width="12.54296875" style="53" bestFit="1" customWidth="1"/>
    <col min="7928" max="7928" width="27.26953125" style="53" bestFit="1" customWidth="1"/>
    <col min="7929" max="7929" width="9.1796875" style="53" customWidth="1"/>
    <col min="7930" max="7930" width="14.7265625" style="53" customWidth="1"/>
    <col min="7931" max="7931" width="11.7265625" style="53" customWidth="1"/>
    <col min="7932" max="7932" width="14.7265625" style="53" customWidth="1"/>
    <col min="7933" max="7933" width="11.7265625" style="53" customWidth="1"/>
    <col min="7934" max="7934" width="14.7265625" style="53" customWidth="1"/>
    <col min="7935" max="7935" width="11.7265625" style="53" customWidth="1"/>
    <col min="7936" max="8177" width="9.1796875" style="53"/>
    <col min="8178" max="8178" width="39.7265625" style="53" customWidth="1"/>
    <col min="8179" max="8181" width="6.1796875" style="53" customWidth="1"/>
    <col min="8182" max="8182" width="8.453125" style="53" bestFit="1" customWidth="1"/>
    <col min="8183" max="8183" width="12.54296875" style="53" bestFit="1" customWidth="1"/>
    <col min="8184" max="8184" width="27.26953125" style="53" bestFit="1" customWidth="1"/>
    <col min="8185" max="8185" width="9.1796875" style="53" customWidth="1"/>
    <col min="8186" max="8186" width="14.7265625" style="53" customWidth="1"/>
    <col min="8187" max="8187" width="11.7265625" style="53" customWidth="1"/>
    <col min="8188" max="8188" width="14.7265625" style="53" customWidth="1"/>
    <col min="8189" max="8189" width="11.7265625" style="53" customWidth="1"/>
    <col min="8190" max="8190" width="14.7265625" style="53" customWidth="1"/>
    <col min="8191" max="8191" width="11.7265625" style="53" customWidth="1"/>
    <col min="8192" max="8433" width="9.1796875" style="53"/>
    <col min="8434" max="8434" width="39.7265625" style="53" customWidth="1"/>
    <col min="8435" max="8437" width="6.1796875" style="53" customWidth="1"/>
    <col min="8438" max="8438" width="8.453125" style="53" bestFit="1" customWidth="1"/>
    <col min="8439" max="8439" width="12.54296875" style="53" bestFit="1" customWidth="1"/>
    <col min="8440" max="8440" width="27.26953125" style="53" bestFit="1" customWidth="1"/>
    <col min="8441" max="8441" width="9.1796875" style="53" customWidth="1"/>
    <col min="8442" max="8442" width="14.7265625" style="53" customWidth="1"/>
    <col min="8443" max="8443" width="11.7265625" style="53" customWidth="1"/>
    <col min="8444" max="8444" width="14.7265625" style="53" customWidth="1"/>
    <col min="8445" max="8445" width="11.7265625" style="53" customWidth="1"/>
    <col min="8446" max="8446" width="14.7265625" style="53" customWidth="1"/>
    <col min="8447" max="8447" width="11.7265625" style="53" customWidth="1"/>
    <col min="8448" max="8689" width="9.1796875" style="53"/>
    <col min="8690" max="8690" width="39.7265625" style="53" customWidth="1"/>
    <col min="8691" max="8693" width="6.1796875" style="53" customWidth="1"/>
    <col min="8694" max="8694" width="8.453125" style="53" bestFit="1" customWidth="1"/>
    <col min="8695" max="8695" width="12.54296875" style="53" bestFit="1" customWidth="1"/>
    <col min="8696" max="8696" width="27.26953125" style="53" bestFit="1" customWidth="1"/>
    <col min="8697" max="8697" width="9.1796875" style="53" customWidth="1"/>
    <col min="8698" max="8698" width="14.7265625" style="53" customWidth="1"/>
    <col min="8699" max="8699" width="11.7265625" style="53" customWidth="1"/>
    <col min="8700" max="8700" width="14.7265625" style="53" customWidth="1"/>
    <col min="8701" max="8701" width="11.7265625" style="53" customWidth="1"/>
    <col min="8702" max="8702" width="14.7265625" style="53" customWidth="1"/>
    <col min="8703" max="8703" width="11.7265625" style="53" customWidth="1"/>
    <col min="8704" max="8945" width="9.1796875" style="53"/>
    <col min="8946" max="8946" width="39.7265625" style="53" customWidth="1"/>
    <col min="8947" max="8949" width="6.1796875" style="53" customWidth="1"/>
    <col min="8950" max="8950" width="8.453125" style="53" bestFit="1" customWidth="1"/>
    <col min="8951" max="8951" width="12.54296875" style="53" bestFit="1" customWidth="1"/>
    <col min="8952" max="8952" width="27.26953125" style="53" bestFit="1" customWidth="1"/>
    <col min="8953" max="8953" width="9.1796875" style="53" customWidth="1"/>
    <col min="8954" max="8954" width="14.7265625" style="53" customWidth="1"/>
    <col min="8955" max="8955" width="11.7265625" style="53" customWidth="1"/>
    <col min="8956" max="8956" width="14.7265625" style="53" customWidth="1"/>
    <col min="8957" max="8957" width="11.7265625" style="53" customWidth="1"/>
    <col min="8958" max="8958" width="14.7265625" style="53" customWidth="1"/>
    <col min="8959" max="8959" width="11.7265625" style="53" customWidth="1"/>
    <col min="8960" max="9201" width="9.1796875" style="53"/>
    <col min="9202" max="9202" width="39.7265625" style="53" customWidth="1"/>
    <col min="9203" max="9205" width="6.1796875" style="53" customWidth="1"/>
    <col min="9206" max="9206" width="8.453125" style="53" bestFit="1" customWidth="1"/>
    <col min="9207" max="9207" width="12.54296875" style="53" bestFit="1" customWidth="1"/>
    <col min="9208" max="9208" width="27.26953125" style="53" bestFit="1" customWidth="1"/>
    <col min="9209" max="9209" width="9.1796875" style="53" customWidth="1"/>
    <col min="9210" max="9210" width="14.7265625" style="53" customWidth="1"/>
    <col min="9211" max="9211" width="11.7265625" style="53" customWidth="1"/>
    <col min="9212" max="9212" width="14.7265625" style="53" customWidth="1"/>
    <col min="9213" max="9213" width="11.7265625" style="53" customWidth="1"/>
    <col min="9214" max="9214" width="14.7265625" style="53" customWidth="1"/>
    <col min="9215" max="9215" width="11.7265625" style="53" customWidth="1"/>
    <col min="9216" max="9457" width="9.1796875" style="53"/>
    <col min="9458" max="9458" width="39.7265625" style="53" customWidth="1"/>
    <col min="9459" max="9461" width="6.1796875" style="53" customWidth="1"/>
    <col min="9462" max="9462" width="8.453125" style="53" bestFit="1" customWidth="1"/>
    <col min="9463" max="9463" width="12.54296875" style="53" bestFit="1" customWidth="1"/>
    <col min="9464" max="9464" width="27.26953125" style="53" bestFit="1" customWidth="1"/>
    <col min="9465" max="9465" width="9.1796875" style="53" customWidth="1"/>
    <col min="9466" max="9466" width="14.7265625" style="53" customWidth="1"/>
    <col min="9467" max="9467" width="11.7265625" style="53" customWidth="1"/>
    <col min="9468" max="9468" width="14.7265625" style="53" customWidth="1"/>
    <col min="9469" max="9469" width="11.7265625" style="53" customWidth="1"/>
    <col min="9470" max="9470" width="14.7265625" style="53" customWidth="1"/>
    <col min="9471" max="9471" width="11.7265625" style="53" customWidth="1"/>
    <col min="9472" max="9713" width="9.1796875" style="53"/>
    <col min="9714" max="9714" width="39.7265625" style="53" customWidth="1"/>
    <col min="9715" max="9717" width="6.1796875" style="53" customWidth="1"/>
    <col min="9718" max="9718" width="8.453125" style="53" bestFit="1" customWidth="1"/>
    <col min="9719" max="9719" width="12.54296875" style="53" bestFit="1" customWidth="1"/>
    <col min="9720" max="9720" width="27.26953125" style="53" bestFit="1" customWidth="1"/>
    <col min="9721" max="9721" width="9.1796875" style="53" customWidth="1"/>
    <col min="9722" max="9722" width="14.7265625" style="53" customWidth="1"/>
    <col min="9723" max="9723" width="11.7265625" style="53" customWidth="1"/>
    <col min="9724" max="9724" width="14.7265625" style="53" customWidth="1"/>
    <col min="9725" max="9725" width="11.7265625" style="53" customWidth="1"/>
    <col min="9726" max="9726" width="14.7265625" style="53" customWidth="1"/>
    <col min="9727" max="9727" width="11.7265625" style="53" customWidth="1"/>
    <col min="9728" max="9969" width="9.1796875" style="53"/>
    <col min="9970" max="9970" width="39.7265625" style="53" customWidth="1"/>
    <col min="9971" max="9973" width="6.1796875" style="53" customWidth="1"/>
    <col min="9974" max="9974" width="8.453125" style="53" bestFit="1" customWidth="1"/>
    <col min="9975" max="9975" width="12.54296875" style="53" bestFit="1" customWidth="1"/>
    <col min="9976" max="9976" width="27.26953125" style="53" bestFit="1" customWidth="1"/>
    <col min="9977" max="9977" width="9.1796875" style="53" customWidth="1"/>
    <col min="9978" max="9978" width="14.7265625" style="53" customWidth="1"/>
    <col min="9979" max="9979" width="11.7265625" style="53" customWidth="1"/>
    <col min="9980" max="9980" width="14.7265625" style="53" customWidth="1"/>
    <col min="9981" max="9981" width="11.7265625" style="53" customWidth="1"/>
    <col min="9982" max="9982" width="14.7265625" style="53" customWidth="1"/>
    <col min="9983" max="9983" width="11.7265625" style="53" customWidth="1"/>
    <col min="9984" max="10225" width="9.1796875" style="53"/>
    <col min="10226" max="10226" width="39.7265625" style="53" customWidth="1"/>
    <col min="10227" max="10229" width="6.1796875" style="53" customWidth="1"/>
    <col min="10230" max="10230" width="8.453125" style="53" bestFit="1" customWidth="1"/>
    <col min="10231" max="10231" width="12.54296875" style="53" bestFit="1" customWidth="1"/>
    <col min="10232" max="10232" width="27.26953125" style="53" bestFit="1" customWidth="1"/>
    <col min="10233" max="10233" width="9.1796875" style="53" customWidth="1"/>
    <col min="10234" max="10234" width="14.7265625" style="53" customWidth="1"/>
    <col min="10235" max="10235" width="11.7265625" style="53" customWidth="1"/>
    <col min="10236" max="10236" width="14.7265625" style="53" customWidth="1"/>
    <col min="10237" max="10237" width="11.7265625" style="53" customWidth="1"/>
    <col min="10238" max="10238" width="14.7265625" style="53" customWidth="1"/>
    <col min="10239" max="10239" width="11.7265625" style="53" customWidth="1"/>
    <col min="10240" max="10481" width="9.1796875" style="53"/>
    <col min="10482" max="10482" width="39.7265625" style="53" customWidth="1"/>
    <col min="10483" max="10485" width="6.1796875" style="53" customWidth="1"/>
    <col min="10486" max="10486" width="8.453125" style="53" bestFit="1" customWidth="1"/>
    <col min="10487" max="10487" width="12.54296875" style="53" bestFit="1" customWidth="1"/>
    <col min="10488" max="10488" width="27.26953125" style="53" bestFit="1" customWidth="1"/>
    <col min="10489" max="10489" width="9.1796875" style="53" customWidth="1"/>
    <col min="10490" max="10490" width="14.7265625" style="53" customWidth="1"/>
    <col min="10491" max="10491" width="11.7265625" style="53" customWidth="1"/>
    <col min="10492" max="10492" width="14.7265625" style="53" customWidth="1"/>
    <col min="10493" max="10493" width="11.7265625" style="53" customWidth="1"/>
    <col min="10494" max="10494" width="14.7265625" style="53" customWidth="1"/>
    <col min="10495" max="10495" width="11.7265625" style="53" customWidth="1"/>
    <col min="10496" max="10737" width="9.1796875" style="53"/>
    <col min="10738" max="10738" width="39.7265625" style="53" customWidth="1"/>
    <col min="10739" max="10741" width="6.1796875" style="53" customWidth="1"/>
    <col min="10742" max="10742" width="8.453125" style="53" bestFit="1" customWidth="1"/>
    <col min="10743" max="10743" width="12.54296875" style="53" bestFit="1" customWidth="1"/>
    <col min="10744" max="10744" width="27.26953125" style="53" bestFit="1" customWidth="1"/>
    <col min="10745" max="10745" width="9.1796875" style="53" customWidth="1"/>
    <col min="10746" max="10746" width="14.7265625" style="53" customWidth="1"/>
    <col min="10747" max="10747" width="11.7265625" style="53" customWidth="1"/>
    <col min="10748" max="10748" width="14.7265625" style="53" customWidth="1"/>
    <col min="10749" max="10749" width="11.7265625" style="53" customWidth="1"/>
    <col min="10750" max="10750" width="14.7265625" style="53" customWidth="1"/>
    <col min="10751" max="10751" width="11.7265625" style="53" customWidth="1"/>
    <col min="10752" max="10993" width="9.1796875" style="53"/>
    <col min="10994" max="10994" width="39.7265625" style="53" customWidth="1"/>
    <col min="10995" max="10997" width="6.1796875" style="53" customWidth="1"/>
    <col min="10998" max="10998" width="8.453125" style="53" bestFit="1" customWidth="1"/>
    <col min="10999" max="10999" width="12.54296875" style="53" bestFit="1" customWidth="1"/>
    <col min="11000" max="11000" width="27.26953125" style="53" bestFit="1" customWidth="1"/>
    <col min="11001" max="11001" width="9.1796875" style="53" customWidth="1"/>
    <col min="11002" max="11002" width="14.7265625" style="53" customWidth="1"/>
    <col min="11003" max="11003" width="11.7265625" style="53" customWidth="1"/>
    <col min="11004" max="11004" width="14.7265625" style="53" customWidth="1"/>
    <col min="11005" max="11005" width="11.7265625" style="53" customWidth="1"/>
    <col min="11006" max="11006" width="14.7265625" style="53" customWidth="1"/>
    <col min="11007" max="11007" width="11.7265625" style="53" customWidth="1"/>
    <col min="11008" max="11249" width="9.1796875" style="53"/>
    <col min="11250" max="11250" width="39.7265625" style="53" customWidth="1"/>
    <col min="11251" max="11253" width="6.1796875" style="53" customWidth="1"/>
    <col min="11254" max="11254" width="8.453125" style="53" bestFit="1" customWidth="1"/>
    <col min="11255" max="11255" width="12.54296875" style="53" bestFit="1" customWidth="1"/>
    <col min="11256" max="11256" width="27.26953125" style="53" bestFit="1" customWidth="1"/>
    <col min="11257" max="11257" width="9.1796875" style="53" customWidth="1"/>
    <col min="11258" max="11258" width="14.7265625" style="53" customWidth="1"/>
    <col min="11259" max="11259" width="11.7265625" style="53" customWidth="1"/>
    <col min="11260" max="11260" width="14.7265625" style="53" customWidth="1"/>
    <col min="11261" max="11261" width="11.7265625" style="53" customWidth="1"/>
    <col min="11262" max="11262" width="14.7265625" style="53" customWidth="1"/>
    <col min="11263" max="11263" width="11.7265625" style="53" customWidth="1"/>
    <col min="11264" max="11505" width="9.1796875" style="53"/>
    <col min="11506" max="11506" width="39.7265625" style="53" customWidth="1"/>
    <col min="11507" max="11509" width="6.1796875" style="53" customWidth="1"/>
    <col min="11510" max="11510" width="8.453125" style="53" bestFit="1" customWidth="1"/>
    <col min="11511" max="11511" width="12.54296875" style="53" bestFit="1" customWidth="1"/>
    <col min="11512" max="11512" width="27.26953125" style="53" bestFit="1" customWidth="1"/>
    <col min="11513" max="11513" width="9.1796875" style="53" customWidth="1"/>
    <col min="11514" max="11514" width="14.7265625" style="53" customWidth="1"/>
    <col min="11515" max="11515" width="11.7265625" style="53" customWidth="1"/>
    <col min="11516" max="11516" width="14.7265625" style="53" customWidth="1"/>
    <col min="11517" max="11517" width="11.7265625" style="53" customWidth="1"/>
    <col min="11518" max="11518" width="14.7265625" style="53" customWidth="1"/>
    <col min="11519" max="11519" width="11.7265625" style="53" customWidth="1"/>
    <col min="11520" max="11761" width="9.1796875" style="53"/>
    <col min="11762" max="11762" width="39.7265625" style="53" customWidth="1"/>
    <col min="11763" max="11765" width="6.1796875" style="53" customWidth="1"/>
    <col min="11766" max="11766" width="8.453125" style="53" bestFit="1" customWidth="1"/>
    <col min="11767" max="11767" width="12.54296875" style="53" bestFit="1" customWidth="1"/>
    <col min="11768" max="11768" width="27.26953125" style="53" bestFit="1" customWidth="1"/>
    <col min="11769" max="11769" width="9.1796875" style="53" customWidth="1"/>
    <col min="11770" max="11770" width="14.7265625" style="53" customWidth="1"/>
    <col min="11771" max="11771" width="11.7265625" style="53" customWidth="1"/>
    <col min="11772" max="11772" width="14.7265625" style="53" customWidth="1"/>
    <col min="11773" max="11773" width="11.7265625" style="53" customWidth="1"/>
    <col min="11774" max="11774" width="14.7265625" style="53" customWidth="1"/>
    <col min="11775" max="11775" width="11.7265625" style="53" customWidth="1"/>
    <col min="11776" max="12017" width="9.1796875" style="53"/>
    <col min="12018" max="12018" width="39.7265625" style="53" customWidth="1"/>
    <col min="12019" max="12021" width="6.1796875" style="53" customWidth="1"/>
    <col min="12022" max="12022" width="8.453125" style="53" bestFit="1" customWidth="1"/>
    <col min="12023" max="12023" width="12.54296875" style="53" bestFit="1" customWidth="1"/>
    <col min="12024" max="12024" width="27.26953125" style="53" bestFit="1" customWidth="1"/>
    <col min="12025" max="12025" width="9.1796875" style="53" customWidth="1"/>
    <col min="12026" max="12026" width="14.7265625" style="53" customWidth="1"/>
    <col min="12027" max="12027" width="11.7265625" style="53" customWidth="1"/>
    <col min="12028" max="12028" width="14.7265625" style="53" customWidth="1"/>
    <col min="12029" max="12029" width="11.7265625" style="53" customWidth="1"/>
    <col min="12030" max="12030" width="14.7265625" style="53" customWidth="1"/>
    <col min="12031" max="12031" width="11.7265625" style="53" customWidth="1"/>
    <col min="12032" max="12273" width="9.1796875" style="53"/>
    <col min="12274" max="12274" width="39.7265625" style="53" customWidth="1"/>
    <col min="12275" max="12277" width="6.1796875" style="53" customWidth="1"/>
    <col min="12278" max="12278" width="8.453125" style="53" bestFit="1" customWidth="1"/>
    <col min="12279" max="12279" width="12.54296875" style="53" bestFit="1" customWidth="1"/>
    <col min="12280" max="12280" width="27.26953125" style="53" bestFit="1" customWidth="1"/>
    <col min="12281" max="12281" width="9.1796875" style="53" customWidth="1"/>
    <col min="12282" max="12282" width="14.7265625" style="53" customWidth="1"/>
    <col min="12283" max="12283" width="11.7265625" style="53" customWidth="1"/>
    <col min="12284" max="12284" width="14.7265625" style="53" customWidth="1"/>
    <col min="12285" max="12285" width="11.7265625" style="53" customWidth="1"/>
    <col min="12286" max="12286" width="14.7265625" style="53" customWidth="1"/>
    <col min="12287" max="12287" width="11.7265625" style="53" customWidth="1"/>
    <col min="12288" max="12529" width="9.1796875" style="53"/>
    <col min="12530" max="12530" width="39.7265625" style="53" customWidth="1"/>
    <col min="12531" max="12533" width="6.1796875" style="53" customWidth="1"/>
    <col min="12534" max="12534" width="8.453125" style="53" bestFit="1" customWidth="1"/>
    <col min="12535" max="12535" width="12.54296875" style="53" bestFit="1" customWidth="1"/>
    <col min="12536" max="12536" width="27.26953125" style="53" bestFit="1" customWidth="1"/>
    <col min="12537" max="12537" width="9.1796875" style="53" customWidth="1"/>
    <col min="12538" max="12538" width="14.7265625" style="53" customWidth="1"/>
    <col min="12539" max="12539" width="11.7265625" style="53" customWidth="1"/>
    <col min="12540" max="12540" width="14.7265625" style="53" customWidth="1"/>
    <col min="12541" max="12541" width="11.7265625" style="53" customWidth="1"/>
    <col min="12542" max="12542" width="14.7265625" style="53" customWidth="1"/>
    <col min="12543" max="12543" width="11.7265625" style="53" customWidth="1"/>
    <col min="12544" max="12785" width="9.1796875" style="53"/>
    <col min="12786" max="12786" width="39.7265625" style="53" customWidth="1"/>
    <col min="12787" max="12789" width="6.1796875" style="53" customWidth="1"/>
    <col min="12790" max="12790" width="8.453125" style="53" bestFit="1" customWidth="1"/>
    <col min="12791" max="12791" width="12.54296875" style="53" bestFit="1" customWidth="1"/>
    <col min="12792" max="12792" width="27.26953125" style="53" bestFit="1" customWidth="1"/>
    <col min="12793" max="12793" width="9.1796875" style="53" customWidth="1"/>
    <col min="12794" max="12794" width="14.7265625" style="53" customWidth="1"/>
    <col min="12795" max="12795" width="11.7265625" style="53" customWidth="1"/>
    <col min="12796" max="12796" width="14.7265625" style="53" customWidth="1"/>
    <col min="12797" max="12797" width="11.7265625" style="53" customWidth="1"/>
    <col min="12798" max="12798" width="14.7265625" style="53" customWidth="1"/>
    <col min="12799" max="12799" width="11.7265625" style="53" customWidth="1"/>
    <col min="12800" max="13041" width="9.1796875" style="53"/>
    <col min="13042" max="13042" width="39.7265625" style="53" customWidth="1"/>
    <col min="13043" max="13045" width="6.1796875" style="53" customWidth="1"/>
    <col min="13046" max="13046" width="8.453125" style="53" bestFit="1" customWidth="1"/>
    <col min="13047" max="13047" width="12.54296875" style="53" bestFit="1" customWidth="1"/>
    <col min="13048" max="13048" width="27.26953125" style="53" bestFit="1" customWidth="1"/>
    <col min="13049" max="13049" width="9.1796875" style="53" customWidth="1"/>
    <col min="13050" max="13050" width="14.7265625" style="53" customWidth="1"/>
    <col min="13051" max="13051" width="11.7265625" style="53" customWidth="1"/>
    <col min="13052" max="13052" width="14.7265625" style="53" customWidth="1"/>
    <col min="13053" max="13053" width="11.7265625" style="53" customWidth="1"/>
    <col min="13054" max="13054" width="14.7265625" style="53" customWidth="1"/>
    <col min="13055" max="13055" width="11.7265625" style="53" customWidth="1"/>
    <col min="13056" max="13297" width="9.1796875" style="53"/>
    <col min="13298" max="13298" width="39.7265625" style="53" customWidth="1"/>
    <col min="13299" max="13301" width="6.1796875" style="53" customWidth="1"/>
    <col min="13302" max="13302" width="8.453125" style="53" bestFit="1" customWidth="1"/>
    <col min="13303" max="13303" width="12.54296875" style="53" bestFit="1" customWidth="1"/>
    <col min="13304" max="13304" width="27.26953125" style="53" bestFit="1" customWidth="1"/>
    <col min="13305" max="13305" width="9.1796875" style="53" customWidth="1"/>
    <col min="13306" max="13306" width="14.7265625" style="53" customWidth="1"/>
    <col min="13307" max="13307" width="11.7265625" style="53" customWidth="1"/>
    <col min="13308" max="13308" width="14.7265625" style="53" customWidth="1"/>
    <col min="13309" max="13309" width="11.7265625" style="53" customWidth="1"/>
    <col min="13310" max="13310" width="14.7265625" style="53" customWidth="1"/>
    <col min="13311" max="13311" width="11.7265625" style="53" customWidth="1"/>
    <col min="13312" max="13553" width="9.1796875" style="53"/>
    <col min="13554" max="13554" width="39.7265625" style="53" customWidth="1"/>
    <col min="13555" max="13557" width="6.1796875" style="53" customWidth="1"/>
    <col min="13558" max="13558" width="8.453125" style="53" bestFit="1" customWidth="1"/>
    <col min="13559" max="13559" width="12.54296875" style="53" bestFit="1" customWidth="1"/>
    <col min="13560" max="13560" width="27.26953125" style="53" bestFit="1" customWidth="1"/>
    <col min="13561" max="13561" width="9.1796875" style="53" customWidth="1"/>
    <col min="13562" max="13562" width="14.7265625" style="53" customWidth="1"/>
    <col min="13563" max="13563" width="11.7265625" style="53" customWidth="1"/>
    <col min="13564" max="13564" width="14.7265625" style="53" customWidth="1"/>
    <col min="13565" max="13565" width="11.7265625" style="53" customWidth="1"/>
    <col min="13566" max="13566" width="14.7265625" style="53" customWidth="1"/>
    <col min="13567" max="13567" width="11.7265625" style="53" customWidth="1"/>
    <col min="13568" max="13809" width="9.1796875" style="53"/>
    <col min="13810" max="13810" width="39.7265625" style="53" customWidth="1"/>
    <col min="13811" max="13813" width="6.1796875" style="53" customWidth="1"/>
    <col min="13814" max="13814" width="8.453125" style="53" bestFit="1" customWidth="1"/>
    <col min="13815" max="13815" width="12.54296875" style="53" bestFit="1" customWidth="1"/>
    <col min="13816" max="13816" width="27.26953125" style="53" bestFit="1" customWidth="1"/>
    <col min="13817" max="13817" width="9.1796875" style="53" customWidth="1"/>
    <col min="13818" max="13818" width="14.7265625" style="53" customWidth="1"/>
    <col min="13819" max="13819" width="11.7265625" style="53" customWidth="1"/>
    <col min="13820" max="13820" width="14.7265625" style="53" customWidth="1"/>
    <col min="13821" max="13821" width="11.7265625" style="53" customWidth="1"/>
    <col min="13822" max="13822" width="14.7265625" style="53" customWidth="1"/>
    <col min="13823" max="13823" width="11.7265625" style="53" customWidth="1"/>
    <col min="13824" max="14065" width="9.1796875" style="53"/>
    <col min="14066" max="14066" width="39.7265625" style="53" customWidth="1"/>
    <col min="14067" max="14069" width="6.1796875" style="53" customWidth="1"/>
    <col min="14070" max="14070" width="8.453125" style="53" bestFit="1" customWidth="1"/>
    <col min="14071" max="14071" width="12.54296875" style="53" bestFit="1" customWidth="1"/>
    <col min="14072" max="14072" width="27.26953125" style="53" bestFit="1" customWidth="1"/>
    <col min="14073" max="14073" width="9.1796875" style="53" customWidth="1"/>
    <col min="14074" max="14074" width="14.7265625" style="53" customWidth="1"/>
    <col min="14075" max="14075" width="11.7265625" style="53" customWidth="1"/>
    <col min="14076" max="14076" width="14.7265625" style="53" customWidth="1"/>
    <col min="14077" max="14077" width="11.7265625" style="53" customWidth="1"/>
    <col min="14078" max="14078" width="14.7265625" style="53" customWidth="1"/>
    <col min="14079" max="14079" width="11.7265625" style="53" customWidth="1"/>
    <col min="14080" max="14321" width="9.1796875" style="53"/>
    <col min="14322" max="14322" width="39.7265625" style="53" customWidth="1"/>
    <col min="14323" max="14325" width="6.1796875" style="53" customWidth="1"/>
    <col min="14326" max="14326" width="8.453125" style="53" bestFit="1" customWidth="1"/>
    <col min="14327" max="14327" width="12.54296875" style="53" bestFit="1" customWidth="1"/>
    <col min="14328" max="14328" width="27.26953125" style="53" bestFit="1" customWidth="1"/>
    <col min="14329" max="14329" width="9.1796875" style="53" customWidth="1"/>
    <col min="14330" max="14330" width="14.7265625" style="53" customWidth="1"/>
    <col min="14331" max="14331" width="11.7265625" style="53" customWidth="1"/>
    <col min="14332" max="14332" width="14.7265625" style="53" customWidth="1"/>
    <col min="14333" max="14333" width="11.7265625" style="53" customWidth="1"/>
    <col min="14334" max="14334" width="14.7265625" style="53" customWidth="1"/>
    <col min="14335" max="14335" width="11.7265625" style="53" customWidth="1"/>
    <col min="14336" max="14577" width="9.1796875" style="53"/>
    <col min="14578" max="14578" width="39.7265625" style="53" customWidth="1"/>
    <col min="14579" max="14581" width="6.1796875" style="53" customWidth="1"/>
    <col min="14582" max="14582" width="8.453125" style="53" bestFit="1" customWidth="1"/>
    <col min="14583" max="14583" width="12.54296875" style="53" bestFit="1" customWidth="1"/>
    <col min="14584" max="14584" width="27.26953125" style="53" bestFit="1" customWidth="1"/>
    <col min="14585" max="14585" width="9.1796875" style="53" customWidth="1"/>
    <col min="14586" max="14586" width="14.7265625" style="53" customWidth="1"/>
    <col min="14587" max="14587" width="11.7265625" style="53" customWidth="1"/>
    <col min="14588" max="14588" width="14.7265625" style="53" customWidth="1"/>
    <col min="14589" max="14589" width="11.7265625" style="53" customWidth="1"/>
    <col min="14590" max="14590" width="14.7265625" style="53" customWidth="1"/>
    <col min="14591" max="14591" width="11.7265625" style="53" customWidth="1"/>
    <col min="14592" max="14833" width="9.1796875" style="53"/>
    <col min="14834" max="14834" width="39.7265625" style="53" customWidth="1"/>
    <col min="14835" max="14837" width="6.1796875" style="53" customWidth="1"/>
    <col min="14838" max="14838" width="8.453125" style="53" bestFit="1" customWidth="1"/>
    <col min="14839" max="14839" width="12.54296875" style="53" bestFit="1" customWidth="1"/>
    <col min="14840" max="14840" width="27.26953125" style="53" bestFit="1" customWidth="1"/>
    <col min="14841" max="14841" width="9.1796875" style="53" customWidth="1"/>
    <col min="14842" max="14842" width="14.7265625" style="53" customWidth="1"/>
    <col min="14843" max="14843" width="11.7265625" style="53" customWidth="1"/>
    <col min="14844" max="14844" width="14.7265625" style="53" customWidth="1"/>
    <col min="14845" max="14845" width="11.7265625" style="53" customWidth="1"/>
    <col min="14846" max="14846" width="14.7265625" style="53" customWidth="1"/>
    <col min="14847" max="14847" width="11.7265625" style="53" customWidth="1"/>
    <col min="14848" max="15089" width="9.1796875" style="53"/>
    <col min="15090" max="15090" width="39.7265625" style="53" customWidth="1"/>
    <col min="15091" max="15093" width="6.1796875" style="53" customWidth="1"/>
    <col min="15094" max="15094" width="8.453125" style="53" bestFit="1" customWidth="1"/>
    <col min="15095" max="15095" width="12.54296875" style="53" bestFit="1" customWidth="1"/>
    <col min="15096" max="15096" width="27.26953125" style="53" bestFit="1" customWidth="1"/>
    <col min="15097" max="15097" width="9.1796875" style="53" customWidth="1"/>
    <col min="15098" max="15098" width="14.7265625" style="53" customWidth="1"/>
    <col min="15099" max="15099" width="11.7265625" style="53" customWidth="1"/>
    <col min="15100" max="15100" width="14.7265625" style="53" customWidth="1"/>
    <col min="15101" max="15101" width="11.7265625" style="53" customWidth="1"/>
    <col min="15102" max="15102" width="14.7265625" style="53" customWidth="1"/>
    <col min="15103" max="15103" width="11.7265625" style="53" customWidth="1"/>
    <col min="15104" max="15345" width="9.1796875" style="53"/>
    <col min="15346" max="15346" width="39.7265625" style="53" customWidth="1"/>
    <col min="15347" max="15349" width="6.1796875" style="53" customWidth="1"/>
    <col min="15350" max="15350" width="8.453125" style="53" bestFit="1" customWidth="1"/>
    <col min="15351" max="15351" width="12.54296875" style="53" bestFit="1" customWidth="1"/>
    <col min="15352" max="15352" width="27.26953125" style="53" bestFit="1" customWidth="1"/>
    <col min="15353" max="15353" width="9.1796875" style="53" customWidth="1"/>
    <col min="15354" max="15354" width="14.7265625" style="53" customWidth="1"/>
    <col min="15355" max="15355" width="11.7265625" style="53" customWidth="1"/>
    <col min="15356" max="15356" width="14.7265625" style="53" customWidth="1"/>
    <col min="15357" max="15357" width="11.7265625" style="53" customWidth="1"/>
    <col min="15358" max="15358" width="14.7265625" style="53" customWidth="1"/>
    <col min="15359" max="15359" width="11.7265625" style="53" customWidth="1"/>
    <col min="15360" max="15601" width="9.1796875" style="53"/>
    <col min="15602" max="15602" width="39.7265625" style="53" customWidth="1"/>
    <col min="15603" max="15605" width="6.1796875" style="53" customWidth="1"/>
    <col min="15606" max="15606" width="8.453125" style="53" bestFit="1" customWidth="1"/>
    <col min="15607" max="15607" width="12.54296875" style="53" bestFit="1" customWidth="1"/>
    <col min="15608" max="15608" width="27.26953125" style="53" bestFit="1" customWidth="1"/>
    <col min="15609" max="15609" width="9.1796875" style="53" customWidth="1"/>
    <col min="15610" max="15610" width="14.7265625" style="53" customWidth="1"/>
    <col min="15611" max="15611" width="11.7265625" style="53" customWidth="1"/>
    <col min="15612" max="15612" width="14.7265625" style="53" customWidth="1"/>
    <col min="15613" max="15613" width="11.7265625" style="53" customWidth="1"/>
    <col min="15614" max="15614" width="14.7265625" style="53" customWidth="1"/>
    <col min="15615" max="15615" width="11.7265625" style="53" customWidth="1"/>
    <col min="15616" max="15857" width="9.1796875" style="53"/>
    <col min="15858" max="15858" width="39.7265625" style="53" customWidth="1"/>
    <col min="15859" max="15861" width="6.1796875" style="53" customWidth="1"/>
    <col min="15862" max="15862" width="8.453125" style="53" bestFit="1" customWidth="1"/>
    <col min="15863" max="15863" width="12.54296875" style="53" bestFit="1" customWidth="1"/>
    <col min="15864" max="15864" width="27.26953125" style="53" bestFit="1" customWidth="1"/>
    <col min="15865" max="15865" width="9.1796875" style="53" customWidth="1"/>
    <col min="15866" max="15866" width="14.7265625" style="53" customWidth="1"/>
    <col min="15867" max="15867" width="11.7265625" style="53" customWidth="1"/>
    <col min="15868" max="15868" width="14.7265625" style="53" customWidth="1"/>
    <col min="15869" max="15869" width="11.7265625" style="53" customWidth="1"/>
    <col min="15870" max="15870" width="14.7265625" style="53" customWidth="1"/>
    <col min="15871" max="15871" width="11.7265625" style="53" customWidth="1"/>
    <col min="15872" max="16113" width="9.1796875" style="53"/>
    <col min="16114" max="16114" width="39.7265625" style="53" customWidth="1"/>
    <col min="16115" max="16117" width="6.1796875" style="53" customWidth="1"/>
    <col min="16118" max="16118" width="8.453125" style="53" bestFit="1" customWidth="1"/>
    <col min="16119" max="16119" width="12.54296875" style="53" bestFit="1" customWidth="1"/>
    <col min="16120" max="16120" width="27.26953125" style="53" bestFit="1" customWidth="1"/>
    <col min="16121" max="16121" width="9.1796875" style="53" customWidth="1"/>
    <col min="16122" max="16122" width="14.7265625" style="53" customWidth="1"/>
    <col min="16123" max="16123" width="11.7265625" style="53" customWidth="1"/>
    <col min="16124" max="16124" width="14.7265625" style="53" customWidth="1"/>
    <col min="16125" max="16125" width="11.7265625" style="53" customWidth="1"/>
    <col min="16126" max="16126" width="14.7265625" style="53" customWidth="1"/>
    <col min="16127" max="16127" width="11.7265625" style="53" customWidth="1"/>
    <col min="16128" max="16384" width="9.1796875" style="53"/>
  </cols>
  <sheetData>
    <row r="1" spans="1:13" x14ac:dyDescent="0.35">
      <c r="A1" s="345" t="s">
        <v>414</v>
      </c>
    </row>
    <row r="2" spans="1:13" ht="15" thickBot="1" x14ac:dyDescent="0.4"/>
    <row r="3" spans="1:13" ht="9" customHeight="1" x14ac:dyDescent="0.35">
      <c r="A3" s="1571" t="s">
        <v>360</v>
      </c>
      <c r="B3" s="1494" t="s">
        <v>361</v>
      </c>
      <c r="C3" s="1494"/>
      <c r="D3" s="1494"/>
      <c r="E3" s="1494"/>
      <c r="F3" s="1494"/>
      <c r="G3" s="1494"/>
      <c r="H3" s="1494"/>
      <c r="I3" s="1574" t="s">
        <v>52</v>
      </c>
      <c r="J3" s="1577" t="s">
        <v>577</v>
      </c>
      <c r="K3" s="1578"/>
      <c r="L3" s="1510" t="s">
        <v>349</v>
      </c>
      <c r="M3" s="1567" t="s">
        <v>383</v>
      </c>
    </row>
    <row r="4" spans="1:13" ht="6.75" customHeight="1" x14ac:dyDescent="0.35">
      <c r="A4" s="1572"/>
      <c r="B4" s="1498"/>
      <c r="C4" s="1498"/>
      <c r="D4" s="1498"/>
      <c r="E4" s="1498"/>
      <c r="F4" s="1498"/>
      <c r="G4" s="1498"/>
      <c r="H4" s="1498"/>
      <c r="I4" s="1575"/>
      <c r="J4" s="1579"/>
      <c r="K4" s="1580"/>
      <c r="L4" s="1511"/>
      <c r="M4" s="1568"/>
    </row>
    <row r="5" spans="1:13" x14ac:dyDescent="0.35">
      <c r="A5" s="1572"/>
      <c r="B5" s="1498"/>
      <c r="C5" s="1498"/>
      <c r="D5" s="1498"/>
      <c r="E5" s="1498"/>
      <c r="F5" s="1498"/>
      <c r="G5" s="1498"/>
      <c r="H5" s="1498"/>
      <c r="I5" s="1575"/>
      <c r="J5" s="1579"/>
      <c r="K5" s="1580"/>
      <c r="L5" s="1511"/>
      <c r="M5" s="1568"/>
    </row>
    <row r="6" spans="1:13" ht="5.25" customHeight="1" x14ac:dyDescent="0.35">
      <c r="A6" s="1572"/>
      <c r="B6" s="1498"/>
      <c r="C6" s="1498"/>
      <c r="D6" s="1498"/>
      <c r="E6" s="1498"/>
      <c r="F6" s="1498"/>
      <c r="G6" s="1498"/>
      <c r="H6" s="1498"/>
      <c r="I6" s="1575"/>
      <c r="J6" s="1579"/>
      <c r="K6" s="1580"/>
      <c r="L6" s="1511"/>
      <c r="M6" s="1568"/>
    </row>
    <row r="7" spans="1:13" x14ac:dyDescent="0.35">
      <c r="A7" s="1572"/>
      <c r="B7" s="1498"/>
      <c r="C7" s="1498"/>
      <c r="D7" s="1498"/>
      <c r="E7" s="1498"/>
      <c r="F7" s="1498"/>
      <c r="G7" s="1498"/>
      <c r="H7" s="1498"/>
      <c r="I7" s="1575"/>
      <c r="J7" s="1579"/>
      <c r="K7" s="1580"/>
      <c r="L7" s="1511"/>
      <c r="M7" s="1568"/>
    </row>
    <row r="8" spans="1:13" x14ac:dyDescent="0.35">
      <c r="A8" s="1572"/>
      <c r="B8" s="1498"/>
      <c r="C8" s="1498"/>
      <c r="D8" s="1498"/>
      <c r="E8" s="1498"/>
      <c r="F8" s="1498"/>
      <c r="G8" s="1498"/>
      <c r="H8" s="1498"/>
      <c r="I8" s="1575"/>
      <c r="J8" s="1581"/>
      <c r="K8" s="1582"/>
      <c r="L8" s="1511"/>
      <c r="M8" s="1568"/>
    </row>
    <row r="9" spans="1:13" s="141" customFormat="1" ht="24.5" thickBot="1" x14ac:dyDescent="0.35">
      <c r="A9" s="1573"/>
      <c r="B9" s="348">
        <v>2014</v>
      </c>
      <c r="C9" s="349">
        <v>2015</v>
      </c>
      <c r="D9" s="349">
        <v>2016</v>
      </c>
      <c r="E9" s="349">
        <v>2017</v>
      </c>
      <c r="F9" s="349">
        <v>2018</v>
      </c>
      <c r="G9" s="349">
        <v>2019</v>
      </c>
      <c r="H9" s="349">
        <v>2020</v>
      </c>
      <c r="I9" s="1576"/>
      <c r="J9" s="633" t="s">
        <v>362</v>
      </c>
      <c r="K9" s="633" t="s">
        <v>351</v>
      </c>
      <c r="L9" s="1512"/>
      <c r="M9" s="1568"/>
    </row>
    <row r="10" spans="1:13" s="141" customFormat="1" ht="13" x14ac:dyDescent="0.3">
      <c r="A10" s="351" t="s">
        <v>55</v>
      </c>
      <c r="B10" s="352"/>
      <c r="C10" s="353"/>
      <c r="D10" s="353"/>
      <c r="E10" s="354"/>
      <c r="F10" s="355"/>
      <c r="G10" s="355"/>
      <c r="H10" s="355"/>
      <c r="I10" s="356"/>
      <c r="J10" s="634"/>
      <c r="K10" s="634"/>
      <c r="L10" s="357"/>
      <c r="M10" s="358"/>
    </row>
    <row r="11" spans="1:13" s="150" customFormat="1" ht="26" x14ac:dyDescent="0.3">
      <c r="A11" s="359" t="s">
        <v>56</v>
      </c>
      <c r="B11" s="360" t="s">
        <v>352</v>
      </c>
      <c r="C11" s="360"/>
      <c r="D11" s="360"/>
      <c r="E11" s="361"/>
      <c r="F11" s="362"/>
      <c r="G11" s="362"/>
      <c r="H11" s="362"/>
      <c r="I11" s="363" t="s">
        <v>407</v>
      </c>
      <c r="J11" s="635"/>
      <c r="K11" s="635"/>
      <c r="L11" s="361"/>
      <c r="M11" s="364">
        <v>6700</v>
      </c>
    </row>
    <row r="12" spans="1:13" s="95" customFormat="1" ht="26" x14ac:dyDescent="0.3">
      <c r="A12" s="359" t="s">
        <v>58</v>
      </c>
      <c r="B12" s="360" t="s">
        <v>352</v>
      </c>
      <c r="C12" s="360" t="s">
        <v>352</v>
      </c>
      <c r="D12" s="360"/>
      <c r="E12" s="361"/>
      <c r="F12" s="362"/>
      <c r="G12" s="362"/>
      <c r="H12" s="362"/>
      <c r="I12" s="363" t="s">
        <v>363</v>
      </c>
      <c r="J12" s="635">
        <v>10.4</v>
      </c>
      <c r="K12" s="635">
        <v>0</v>
      </c>
      <c r="L12" s="361">
        <v>0</v>
      </c>
      <c r="M12" s="364">
        <v>27600</v>
      </c>
    </row>
    <row r="13" spans="1:13" s="156" customFormat="1" ht="26" x14ac:dyDescent="0.3">
      <c r="A13" s="359" t="s">
        <v>60</v>
      </c>
      <c r="B13" s="360"/>
      <c r="C13" s="360"/>
      <c r="D13" s="360"/>
      <c r="E13" s="361" t="s">
        <v>352</v>
      </c>
      <c r="F13" s="362" t="s">
        <v>352</v>
      </c>
      <c r="G13" s="362" t="s">
        <v>352</v>
      </c>
      <c r="H13" s="362"/>
      <c r="I13" s="363" t="s">
        <v>364</v>
      </c>
      <c r="J13" s="635">
        <v>9</v>
      </c>
      <c r="K13" s="635">
        <v>10.199999999999999</v>
      </c>
      <c r="L13" s="361">
        <v>1.2</v>
      </c>
      <c r="M13" s="364" t="s">
        <v>397</v>
      </c>
    </row>
    <row r="14" spans="1:13" s="156" customFormat="1" ht="39" x14ac:dyDescent="0.3">
      <c r="A14" s="359" t="s">
        <v>62</v>
      </c>
      <c r="B14" s="360"/>
      <c r="C14" s="360"/>
      <c r="D14" s="360" t="s">
        <v>352</v>
      </c>
      <c r="E14" s="361" t="s">
        <v>352</v>
      </c>
      <c r="F14" s="362"/>
      <c r="G14" s="362"/>
      <c r="H14" s="362"/>
      <c r="I14" s="363" t="s">
        <v>405</v>
      </c>
      <c r="J14" s="635">
        <v>183</v>
      </c>
      <c r="K14" s="635">
        <v>187.5</v>
      </c>
      <c r="L14" s="361">
        <v>1.5</v>
      </c>
      <c r="M14" s="364">
        <v>6700</v>
      </c>
    </row>
    <row r="15" spans="1:13" s="95" customFormat="1" ht="13" x14ac:dyDescent="0.3">
      <c r="A15" s="365" t="s">
        <v>64</v>
      </c>
      <c r="B15" s="366"/>
      <c r="C15" s="366"/>
      <c r="D15" s="366"/>
      <c r="E15" s="367"/>
      <c r="F15" s="368"/>
      <c r="G15" s="368"/>
      <c r="H15" s="368"/>
      <c r="I15" s="369"/>
      <c r="J15" s="636"/>
      <c r="K15" s="636"/>
      <c r="L15" s="367"/>
      <c r="M15" s="370"/>
    </row>
    <row r="16" spans="1:13" s="95" customFormat="1" ht="13" x14ac:dyDescent="0.3">
      <c r="A16" s="359" t="s">
        <v>65</v>
      </c>
      <c r="B16" s="360" t="s">
        <v>352</v>
      </c>
      <c r="C16" s="360"/>
      <c r="D16" s="360"/>
      <c r="E16" s="361"/>
      <c r="F16" s="362"/>
      <c r="G16" s="362"/>
      <c r="H16" s="362"/>
      <c r="I16" s="363" t="s">
        <v>365</v>
      </c>
      <c r="J16" s="635"/>
      <c r="K16" s="635"/>
      <c r="L16" s="361"/>
      <c r="M16" s="364"/>
    </row>
    <row r="17" spans="1:13" s="95" customFormat="1" ht="26" x14ac:dyDescent="0.3">
      <c r="A17" s="359" t="s">
        <v>66</v>
      </c>
      <c r="B17" s="360"/>
      <c r="C17" s="360"/>
      <c r="D17" s="360"/>
      <c r="E17" s="361" t="s">
        <v>352</v>
      </c>
      <c r="F17" s="362" t="s">
        <v>352</v>
      </c>
      <c r="G17" s="362" t="s">
        <v>352</v>
      </c>
      <c r="H17" s="362" t="s">
        <v>352</v>
      </c>
      <c r="I17" s="363" t="s">
        <v>67</v>
      </c>
      <c r="J17" s="635">
        <v>40</v>
      </c>
      <c r="K17" s="635">
        <v>85</v>
      </c>
      <c r="L17" s="361">
        <v>45</v>
      </c>
      <c r="M17" s="364">
        <v>7700</v>
      </c>
    </row>
    <row r="18" spans="1:13" s="95" customFormat="1" ht="39" x14ac:dyDescent="0.3">
      <c r="A18" s="359" t="s">
        <v>69</v>
      </c>
      <c r="B18" s="360" t="s">
        <v>352</v>
      </c>
      <c r="C18" s="360" t="s">
        <v>352</v>
      </c>
      <c r="D18" s="360"/>
      <c r="E18" s="361"/>
      <c r="F18" s="362"/>
      <c r="G18" s="362"/>
      <c r="H18" s="362"/>
      <c r="I18" s="363" t="s">
        <v>408</v>
      </c>
      <c r="J18" s="635">
        <v>188.5</v>
      </c>
      <c r="K18" s="635">
        <v>191.6</v>
      </c>
      <c r="L18" s="361">
        <v>3.1</v>
      </c>
      <c r="M18" s="364">
        <v>12000</v>
      </c>
    </row>
    <row r="19" spans="1:13" s="156" customFormat="1" ht="26" x14ac:dyDescent="0.3">
      <c r="A19" s="359" t="s">
        <v>70</v>
      </c>
      <c r="B19" s="360" t="s">
        <v>352</v>
      </c>
      <c r="C19" s="360" t="s">
        <v>352</v>
      </c>
      <c r="D19" s="360"/>
      <c r="E19" s="361"/>
      <c r="F19" s="362"/>
      <c r="G19" s="362"/>
      <c r="H19" s="362"/>
      <c r="I19" s="363" t="s">
        <v>71</v>
      </c>
      <c r="J19" s="635">
        <v>181.9</v>
      </c>
      <c r="K19" s="635">
        <v>184.1</v>
      </c>
      <c r="L19" s="361">
        <v>2.1999999999999886</v>
      </c>
      <c r="M19" s="364">
        <v>12000</v>
      </c>
    </row>
    <row r="20" spans="1:13" s="156" customFormat="1" ht="26" x14ac:dyDescent="0.3">
      <c r="A20" s="359" t="s">
        <v>72</v>
      </c>
      <c r="B20" s="360"/>
      <c r="C20" s="360"/>
      <c r="D20" s="360"/>
      <c r="E20" s="361"/>
      <c r="F20" s="362"/>
      <c r="G20" s="362"/>
      <c r="H20" s="362" t="s">
        <v>352</v>
      </c>
      <c r="I20" s="363" t="s">
        <v>401</v>
      </c>
      <c r="J20" s="635">
        <v>184.1</v>
      </c>
      <c r="K20" s="635">
        <v>185.9</v>
      </c>
      <c r="L20" s="361">
        <v>1.8000000000000114</v>
      </c>
      <c r="M20" s="364">
        <v>12200</v>
      </c>
    </row>
    <row r="21" spans="1:13" s="95" customFormat="1" ht="13" x14ac:dyDescent="0.3">
      <c r="A21" s="359" t="s">
        <v>74</v>
      </c>
      <c r="B21" s="360"/>
      <c r="C21" s="360"/>
      <c r="D21" s="360" t="s">
        <v>352</v>
      </c>
      <c r="E21" s="361" t="s">
        <v>352</v>
      </c>
      <c r="F21" s="362" t="s">
        <v>352</v>
      </c>
      <c r="G21" s="362"/>
      <c r="H21" s="362"/>
      <c r="I21" s="363" t="s">
        <v>575</v>
      </c>
      <c r="J21" s="635">
        <v>128</v>
      </c>
      <c r="K21" s="635">
        <v>181.5</v>
      </c>
      <c r="L21" s="361">
        <v>53.5</v>
      </c>
      <c r="M21" s="364">
        <v>6500</v>
      </c>
    </row>
    <row r="22" spans="1:13" s="95" customFormat="1" ht="13" x14ac:dyDescent="0.3">
      <c r="A22" s="365" t="s">
        <v>76</v>
      </c>
      <c r="B22" s="366"/>
      <c r="C22" s="366"/>
      <c r="D22" s="366"/>
      <c r="E22" s="367"/>
      <c r="F22" s="368"/>
      <c r="G22" s="368"/>
      <c r="H22" s="368"/>
      <c r="I22" s="369"/>
      <c r="J22" s="636"/>
      <c r="K22" s="636"/>
      <c r="L22" s="367"/>
      <c r="M22" s="370"/>
    </row>
    <row r="23" spans="1:13" s="95" customFormat="1" ht="13" x14ac:dyDescent="0.3">
      <c r="A23" s="365" t="s">
        <v>77</v>
      </c>
      <c r="B23" s="366"/>
      <c r="C23" s="366"/>
      <c r="D23" s="366"/>
      <c r="E23" s="367"/>
      <c r="F23" s="368"/>
      <c r="G23" s="368"/>
      <c r="H23" s="368"/>
      <c r="I23" s="369"/>
      <c r="J23" s="636"/>
      <c r="K23" s="636"/>
      <c r="L23" s="367"/>
      <c r="M23" s="370"/>
    </row>
    <row r="24" spans="1:13" s="95" customFormat="1" ht="52" x14ac:dyDescent="0.3">
      <c r="A24" s="359" t="s">
        <v>78</v>
      </c>
      <c r="B24" s="360" t="s">
        <v>352</v>
      </c>
      <c r="C24" s="360"/>
      <c r="D24" s="360" t="s">
        <v>352</v>
      </c>
      <c r="E24" s="361"/>
      <c r="F24" s="362"/>
      <c r="G24" s="362"/>
      <c r="H24" s="362"/>
      <c r="I24" s="363" t="s">
        <v>398</v>
      </c>
      <c r="J24" s="635">
        <v>14.7</v>
      </c>
      <c r="K24" s="635">
        <v>0</v>
      </c>
      <c r="L24" s="361">
        <v>0</v>
      </c>
      <c r="M24" s="364" t="s">
        <v>399</v>
      </c>
    </row>
    <row r="25" spans="1:13" s="95" customFormat="1" ht="13" x14ac:dyDescent="0.3">
      <c r="A25" s="359" t="s">
        <v>80</v>
      </c>
      <c r="B25" s="360"/>
      <c r="C25" s="360"/>
      <c r="D25" s="360"/>
      <c r="E25" s="361" t="s">
        <v>352</v>
      </c>
      <c r="F25" s="362" t="s">
        <v>352</v>
      </c>
      <c r="G25" s="362"/>
      <c r="H25" s="362"/>
      <c r="I25" s="363" t="s">
        <v>367</v>
      </c>
      <c r="J25" s="635">
        <v>13</v>
      </c>
      <c r="K25" s="635">
        <v>16</v>
      </c>
      <c r="L25" s="361">
        <v>3</v>
      </c>
      <c r="M25" s="364" t="s">
        <v>131</v>
      </c>
    </row>
    <row r="26" spans="1:13" s="156" customFormat="1" ht="13" x14ac:dyDescent="0.3">
      <c r="A26" s="359" t="s">
        <v>81</v>
      </c>
      <c r="B26" s="360"/>
      <c r="C26" s="360"/>
      <c r="D26" s="360" t="s">
        <v>352</v>
      </c>
      <c r="E26" s="361" t="s">
        <v>352</v>
      </c>
      <c r="F26" s="362"/>
      <c r="G26" s="362"/>
      <c r="H26" s="362"/>
      <c r="I26" s="363" t="s">
        <v>82</v>
      </c>
      <c r="J26" s="635">
        <v>28</v>
      </c>
      <c r="K26" s="635">
        <v>37</v>
      </c>
      <c r="L26" s="361">
        <v>9</v>
      </c>
      <c r="M26" s="364">
        <v>8000</v>
      </c>
    </row>
    <row r="27" spans="1:13" s="95" customFormat="1" ht="13" x14ac:dyDescent="0.3">
      <c r="A27" s="359" t="s">
        <v>83</v>
      </c>
      <c r="B27" s="360"/>
      <c r="C27" s="360"/>
      <c r="D27" s="360"/>
      <c r="E27" s="361"/>
      <c r="F27" s="362" t="s">
        <v>352</v>
      </c>
      <c r="G27" s="362" t="s">
        <v>352</v>
      </c>
      <c r="H27" s="362"/>
      <c r="I27" s="363" t="s">
        <v>84</v>
      </c>
      <c r="J27" s="635">
        <v>37</v>
      </c>
      <c r="K27" s="635">
        <v>42</v>
      </c>
      <c r="L27" s="361">
        <v>5</v>
      </c>
      <c r="M27" s="364">
        <v>7000</v>
      </c>
    </row>
    <row r="28" spans="1:13" s="95" customFormat="1" ht="13" x14ac:dyDescent="0.3">
      <c r="A28" s="359" t="s">
        <v>85</v>
      </c>
      <c r="B28" s="360"/>
      <c r="C28" s="360"/>
      <c r="D28" s="360" t="s">
        <v>352</v>
      </c>
      <c r="E28" s="361" t="s">
        <v>352</v>
      </c>
      <c r="F28" s="362"/>
      <c r="G28" s="362"/>
      <c r="H28" s="362"/>
      <c r="I28" s="363" t="s">
        <v>86</v>
      </c>
      <c r="J28" s="635">
        <v>120.3</v>
      </c>
      <c r="K28" s="635">
        <v>124.1</v>
      </c>
      <c r="L28" s="361">
        <v>3.8</v>
      </c>
      <c r="M28" s="364">
        <v>11300</v>
      </c>
    </row>
    <row r="29" spans="1:13" s="95" customFormat="1" ht="13" x14ac:dyDescent="0.3">
      <c r="A29" s="365" t="s">
        <v>87</v>
      </c>
      <c r="B29" s="366"/>
      <c r="C29" s="366"/>
      <c r="D29" s="366"/>
      <c r="E29" s="367"/>
      <c r="F29" s="368"/>
      <c r="G29" s="368"/>
      <c r="H29" s="368"/>
      <c r="I29" s="369"/>
      <c r="J29" s="636"/>
      <c r="K29" s="636"/>
      <c r="L29" s="367"/>
      <c r="M29" s="370"/>
    </row>
    <row r="30" spans="1:13" s="95" customFormat="1" ht="39" x14ac:dyDescent="0.3">
      <c r="A30" s="359" t="s">
        <v>88</v>
      </c>
      <c r="B30" s="360" t="s">
        <v>352</v>
      </c>
      <c r="C30" s="360"/>
      <c r="D30" s="360"/>
      <c r="E30" s="361"/>
      <c r="F30" s="362"/>
      <c r="G30" s="362"/>
      <c r="H30" s="362"/>
      <c r="I30" s="363" t="s">
        <v>147</v>
      </c>
      <c r="J30" s="635">
        <v>1.5</v>
      </c>
      <c r="K30" s="635">
        <v>4.2</v>
      </c>
      <c r="L30" s="361">
        <v>2.7</v>
      </c>
      <c r="M30" s="364">
        <v>5800</v>
      </c>
    </row>
    <row r="31" spans="1:13" s="95" customFormat="1" ht="26" x14ac:dyDescent="0.3">
      <c r="A31" s="359" t="s">
        <v>89</v>
      </c>
      <c r="B31" s="360" t="s">
        <v>352</v>
      </c>
      <c r="C31" s="360" t="s">
        <v>352</v>
      </c>
      <c r="D31" s="360"/>
      <c r="E31" s="361"/>
      <c r="F31" s="362"/>
      <c r="G31" s="362"/>
      <c r="H31" s="362"/>
      <c r="I31" s="363" t="s">
        <v>368</v>
      </c>
      <c r="J31" s="635">
        <v>74.7</v>
      </c>
      <c r="K31" s="635">
        <v>78.7</v>
      </c>
      <c r="L31" s="361">
        <v>4</v>
      </c>
      <c r="M31" s="364">
        <v>4300</v>
      </c>
    </row>
    <row r="32" spans="1:13" s="95" customFormat="1" ht="13" x14ac:dyDescent="0.3">
      <c r="A32" s="365" t="s">
        <v>576</v>
      </c>
      <c r="B32" s="366"/>
      <c r="C32" s="366"/>
      <c r="D32" s="366"/>
      <c r="E32" s="367"/>
      <c r="F32" s="368"/>
      <c r="G32" s="368"/>
      <c r="H32" s="368"/>
      <c r="I32" s="369"/>
      <c r="J32" s="636"/>
      <c r="K32" s="636"/>
      <c r="L32" s="367"/>
      <c r="M32" s="370"/>
    </row>
    <row r="33" spans="1:13" s="95" customFormat="1" ht="13" x14ac:dyDescent="0.3">
      <c r="A33" s="365" t="s">
        <v>90</v>
      </c>
      <c r="B33" s="366"/>
      <c r="C33" s="366"/>
      <c r="D33" s="366"/>
      <c r="E33" s="367"/>
      <c r="F33" s="368"/>
      <c r="G33" s="368"/>
      <c r="H33" s="368"/>
      <c r="I33" s="369"/>
      <c r="J33" s="636"/>
      <c r="K33" s="636"/>
      <c r="L33" s="367"/>
      <c r="M33" s="370"/>
    </row>
    <row r="34" spans="1:13" s="95" customFormat="1" ht="26" x14ac:dyDescent="0.3">
      <c r="A34" s="359" t="s">
        <v>91</v>
      </c>
      <c r="B34" s="360" t="s">
        <v>352</v>
      </c>
      <c r="C34" s="360" t="s">
        <v>352</v>
      </c>
      <c r="D34" s="360"/>
      <c r="E34" s="361"/>
      <c r="F34" s="362"/>
      <c r="G34" s="362"/>
      <c r="H34" s="362"/>
      <c r="I34" s="363" t="s">
        <v>149</v>
      </c>
      <c r="J34" s="635">
        <v>24.7</v>
      </c>
      <c r="K34" s="635">
        <v>29.4</v>
      </c>
      <c r="L34" s="361">
        <v>4.6999999999999993</v>
      </c>
      <c r="M34" s="364" t="s">
        <v>400</v>
      </c>
    </row>
    <row r="35" spans="1:13" s="95" customFormat="1" ht="13" x14ac:dyDescent="0.3">
      <c r="A35" s="365" t="s">
        <v>92</v>
      </c>
      <c r="B35" s="366"/>
      <c r="C35" s="366"/>
      <c r="D35" s="366"/>
      <c r="E35" s="367"/>
      <c r="F35" s="368"/>
      <c r="G35" s="368"/>
      <c r="H35" s="368"/>
      <c r="I35" s="369"/>
      <c r="J35" s="636"/>
      <c r="K35" s="636"/>
      <c r="L35" s="367"/>
      <c r="M35" s="370"/>
    </row>
    <row r="36" spans="1:13" s="95" customFormat="1" ht="13" x14ac:dyDescent="0.3">
      <c r="A36" s="365" t="s">
        <v>93</v>
      </c>
      <c r="B36" s="366"/>
      <c r="C36" s="366"/>
      <c r="D36" s="366"/>
      <c r="E36" s="367"/>
      <c r="F36" s="368"/>
      <c r="G36" s="368"/>
      <c r="H36" s="368"/>
      <c r="I36" s="369"/>
      <c r="J36" s="636"/>
      <c r="K36" s="636"/>
      <c r="L36" s="367"/>
      <c r="M36" s="370"/>
    </row>
    <row r="37" spans="1:13" s="95" customFormat="1" ht="13" x14ac:dyDescent="0.3">
      <c r="A37" s="365" t="s">
        <v>94</v>
      </c>
      <c r="B37" s="366"/>
      <c r="C37" s="366"/>
      <c r="D37" s="366"/>
      <c r="E37" s="367"/>
      <c r="F37" s="368"/>
      <c r="G37" s="368"/>
      <c r="H37" s="368"/>
      <c r="I37" s="369"/>
      <c r="J37" s="636"/>
      <c r="K37" s="636"/>
      <c r="L37" s="367"/>
      <c r="M37" s="370"/>
    </row>
    <row r="38" spans="1:13" s="95" customFormat="1" ht="26" x14ac:dyDescent="0.3">
      <c r="A38" s="359" t="s">
        <v>95</v>
      </c>
      <c r="B38" s="360" t="s">
        <v>352</v>
      </c>
      <c r="C38" s="360" t="s">
        <v>352</v>
      </c>
      <c r="D38" s="360"/>
      <c r="E38" s="361"/>
      <c r="F38" s="362"/>
      <c r="G38" s="362"/>
      <c r="H38" s="362"/>
      <c r="I38" s="363" t="s">
        <v>369</v>
      </c>
      <c r="J38" s="635">
        <v>11.8</v>
      </c>
      <c r="K38" s="635">
        <v>16.2</v>
      </c>
      <c r="L38" s="361">
        <f>K38-J38</f>
        <v>4.3999999999999986</v>
      </c>
      <c r="M38" s="364">
        <v>13700</v>
      </c>
    </row>
    <row r="39" spans="1:13" s="95" customFormat="1" ht="26" x14ac:dyDescent="0.3">
      <c r="A39" s="359" t="s">
        <v>97</v>
      </c>
      <c r="B39" s="360" t="s">
        <v>352</v>
      </c>
      <c r="C39" s="360"/>
      <c r="D39" s="360"/>
      <c r="E39" s="361"/>
      <c r="F39" s="362"/>
      <c r="G39" s="362"/>
      <c r="H39" s="362"/>
      <c r="I39" s="363" t="s">
        <v>402</v>
      </c>
      <c r="J39" s="635">
        <v>16.2</v>
      </c>
      <c r="K39" s="635">
        <v>17.8</v>
      </c>
      <c r="L39" s="361">
        <f>K39-J39</f>
        <v>1.6000000000000014</v>
      </c>
      <c r="M39" s="364">
        <v>10100</v>
      </c>
    </row>
    <row r="40" spans="1:13" s="95" customFormat="1" ht="52" x14ac:dyDescent="0.3">
      <c r="A40" s="359" t="s">
        <v>98</v>
      </c>
      <c r="B40" s="360"/>
      <c r="C40" s="360" t="s">
        <v>352</v>
      </c>
      <c r="D40" s="360" t="s">
        <v>352</v>
      </c>
      <c r="E40" s="361" t="s">
        <v>352</v>
      </c>
      <c r="F40" s="362" t="s">
        <v>352</v>
      </c>
      <c r="G40" s="362" t="s">
        <v>352</v>
      </c>
      <c r="H40" s="362"/>
      <c r="I40" s="363" t="s">
        <v>99</v>
      </c>
      <c r="J40" s="635">
        <v>0.6</v>
      </c>
      <c r="K40" s="635">
        <v>11.3</v>
      </c>
      <c r="L40" s="361">
        <v>10.700000000000001</v>
      </c>
      <c r="M40" s="364">
        <v>12000</v>
      </c>
    </row>
    <row r="41" spans="1:13" s="95" customFormat="1" ht="26" x14ac:dyDescent="0.3">
      <c r="A41" s="359" t="s">
        <v>100</v>
      </c>
      <c r="B41" s="360"/>
      <c r="C41" s="360"/>
      <c r="D41" s="360"/>
      <c r="E41" s="361"/>
      <c r="F41" s="362" t="s">
        <v>352</v>
      </c>
      <c r="G41" s="362" t="s">
        <v>352</v>
      </c>
      <c r="H41" s="362"/>
      <c r="I41" s="363" t="s">
        <v>130</v>
      </c>
      <c r="J41" s="635">
        <v>30.7</v>
      </c>
      <c r="K41" s="635">
        <v>34</v>
      </c>
      <c r="L41" s="361">
        <v>3.3</v>
      </c>
      <c r="M41" s="364" t="s">
        <v>133</v>
      </c>
    </row>
    <row r="42" spans="1:13" s="95" customFormat="1" ht="13" x14ac:dyDescent="0.3">
      <c r="A42" s="359" t="s">
        <v>370</v>
      </c>
      <c r="B42" s="360"/>
      <c r="C42" s="360"/>
      <c r="D42" s="360"/>
      <c r="E42" s="361"/>
      <c r="F42" s="362" t="s">
        <v>352</v>
      </c>
      <c r="G42" s="362" t="s">
        <v>352</v>
      </c>
      <c r="H42" s="362"/>
      <c r="I42" s="371" t="s">
        <v>371</v>
      </c>
      <c r="J42" s="635">
        <f>[4]Ehitus!J44</f>
        <v>20</v>
      </c>
      <c r="K42" s="635">
        <f>[4]Ehitus!K44</f>
        <v>24.1</v>
      </c>
      <c r="L42" s="360">
        <f>[4]Ehitus!L44</f>
        <v>4.0999999999999996</v>
      </c>
      <c r="M42" s="364">
        <f>[4]Ehitus!M44</f>
        <v>8100</v>
      </c>
    </row>
    <row r="43" spans="1:13" s="95" customFormat="1" ht="26" x14ac:dyDescent="0.3">
      <c r="A43" s="359" t="s">
        <v>101</v>
      </c>
      <c r="B43" s="360"/>
      <c r="C43" s="360"/>
      <c r="D43" s="360" t="s">
        <v>352</v>
      </c>
      <c r="E43" s="361" t="s">
        <v>352</v>
      </c>
      <c r="F43" s="362"/>
      <c r="G43" s="362"/>
      <c r="H43" s="362"/>
      <c r="I43" s="363" t="s">
        <v>372</v>
      </c>
      <c r="J43" s="635">
        <v>24.1</v>
      </c>
      <c r="K43" s="635">
        <v>29.8</v>
      </c>
      <c r="L43" s="361">
        <v>4.7</v>
      </c>
      <c r="M43" s="364" t="s">
        <v>134</v>
      </c>
    </row>
    <row r="44" spans="1:13" s="95" customFormat="1" ht="13" x14ac:dyDescent="0.3">
      <c r="A44" s="365" t="s">
        <v>104</v>
      </c>
      <c r="B44" s="366"/>
      <c r="C44" s="366"/>
      <c r="D44" s="366"/>
      <c r="E44" s="367"/>
      <c r="F44" s="368"/>
      <c r="G44" s="368"/>
      <c r="H44" s="368"/>
      <c r="I44" s="369"/>
      <c r="J44" s="636"/>
      <c r="K44" s="636"/>
      <c r="L44" s="367"/>
      <c r="M44" s="370"/>
    </row>
    <row r="45" spans="1:13" s="95" customFormat="1" ht="26" x14ac:dyDescent="0.3">
      <c r="A45" s="430" t="s">
        <v>105</v>
      </c>
      <c r="B45" s="431"/>
      <c r="C45" s="431" t="s">
        <v>352</v>
      </c>
      <c r="D45" s="431"/>
      <c r="E45" s="432"/>
      <c r="F45" s="433"/>
      <c r="G45" s="433"/>
      <c r="H45" s="433"/>
      <c r="I45" s="434" t="s">
        <v>373</v>
      </c>
      <c r="J45" s="637"/>
      <c r="K45" s="637"/>
      <c r="L45" s="432"/>
      <c r="M45" s="435"/>
    </row>
    <row r="46" spans="1:13" s="162" customFormat="1" ht="13" x14ac:dyDescent="0.3">
      <c r="A46" s="125" t="s">
        <v>547</v>
      </c>
      <c r="B46" s="431"/>
      <c r="C46" s="431"/>
      <c r="D46" s="431"/>
      <c r="E46" s="432"/>
      <c r="F46" s="433"/>
      <c r="G46" s="433" t="s">
        <v>352</v>
      </c>
      <c r="H46" s="433"/>
      <c r="I46" s="380" t="s">
        <v>548</v>
      </c>
      <c r="J46" s="637"/>
      <c r="K46" s="637"/>
      <c r="L46" s="432">
        <v>3</v>
      </c>
      <c r="M46" s="57"/>
    </row>
    <row r="47" spans="1:13" s="95" customFormat="1" ht="26.5" thickBot="1" x14ac:dyDescent="0.35">
      <c r="A47" s="437" t="s">
        <v>403</v>
      </c>
      <c r="B47" s="372"/>
      <c r="C47" s="372"/>
      <c r="D47" s="372"/>
      <c r="E47" s="373"/>
      <c r="F47" s="374"/>
      <c r="G47" s="374" t="s">
        <v>352</v>
      </c>
      <c r="H47" s="374"/>
      <c r="I47" s="438" t="s">
        <v>404</v>
      </c>
      <c r="J47" s="638">
        <v>2.6</v>
      </c>
      <c r="K47" s="638">
        <v>4.0999999999999996</v>
      </c>
      <c r="L47" s="373">
        <v>1.5</v>
      </c>
      <c r="M47" s="438">
        <v>15500</v>
      </c>
    </row>
    <row r="48" spans="1:13" s="166" customFormat="1" ht="15" thickBot="1" x14ac:dyDescent="0.4">
      <c r="A48" s="375" t="s">
        <v>374</v>
      </c>
      <c r="B48" s="46">
        <v>43635</v>
      </c>
      <c r="C48" s="46">
        <v>40248.894015294129</v>
      </c>
      <c r="D48" s="376" t="e">
        <f>#REF!</f>
        <v>#REF!</v>
      </c>
      <c r="E48" s="376" t="e">
        <f>#REF!</f>
        <v>#REF!</v>
      </c>
      <c r="F48" s="376" t="e">
        <f>#REF!</f>
        <v>#REF!</v>
      </c>
      <c r="G48" s="376" t="e">
        <f>#REF!</f>
        <v>#REF!</v>
      </c>
      <c r="H48" s="376" t="e">
        <f>#REF!</f>
        <v>#REF!</v>
      </c>
      <c r="I48" s="377"/>
      <c r="J48" s="639"/>
      <c r="K48" s="639"/>
      <c r="L48" s="378"/>
      <c r="M48" s="436"/>
    </row>
    <row r="49" spans="1:13" s="165" customFormat="1" ht="15" thickTop="1" x14ac:dyDescent="0.35">
      <c r="A49" s="1569" t="s">
        <v>375</v>
      </c>
      <c r="B49" s="1570"/>
      <c r="C49" s="1570"/>
      <c r="D49" s="1570"/>
      <c r="E49" s="1570"/>
      <c r="F49" s="1570"/>
      <c r="G49" s="1570"/>
      <c r="H49" s="1570"/>
      <c r="I49" s="1570"/>
      <c r="J49" s="1570"/>
      <c r="K49" s="1570"/>
      <c r="L49" s="1570"/>
      <c r="M49" s="347"/>
    </row>
    <row r="57" spans="1:13" x14ac:dyDescent="0.35">
      <c r="A57" s="379"/>
    </row>
  </sheetData>
  <mergeCells count="7">
    <mergeCell ref="L3:L9"/>
    <mergeCell ref="M3:M9"/>
    <mergeCell ref="A49:L49"/>
    <mergeCell ref="A3:A9"/>
    <mergeCell ref="B3:H8"/>
    <mergeCell ref="I3:I9"/>
    <mergeCell ref="J3:K8"/>
  </mergeCells>
  <pageMargins left="0.7" right="0.7" top="0.75" bottom="0.75" header="0.3" footer="0.3"/>
  <pageSetup paperSize="9" orientation="portrait" r:id="rId1"/>
  <customProperties>
    <customPr name="EpmWorksheetKeyString_GU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31"/>
  <sheetViews>
    <sheetView workbookViewId="0">
      <selection activeCell="N31" activeCellId="1" sqref="M34 N31"/>
    </sheetView>
  </sheetViews>
  <sheetFormatPr defaultColWidth="9.1796875" defaultRowHeight="14.5" x14ac:dyDescent="0.35"/>
  <cols>
    <col min="1" max="1" width="49.453125" style="110" customWidth="1"/>
    <col min="2" max="7" width="9.1796875" style="110"/>
    <col min="8" max="8" width="8.81640625" style="110" customWidth="1"/>
    <col min="9" max="16384" width="9.1796875" style="110"/>
  </cols>
  <sheetData>
    <row r="1" spans="1:8" x14ac:dyDescent="0.35">
      <c r="A1" s="110" t="s">
        <v>415</v>
      </c>
      <c r="B1" s="90"/>
      <c r="C1" s="90"/>
      <c r="D1" s="90"/>
      <c r="E1" s="90"/>
      <c r="F1" s="90"/>
      <c r="G1" s="90"/>
    </row>
    <row r="2" spans="1:8" x14ac:dyDescent="0.35">
      <c r="B2" s="90"/>
      <c r="C2" s="90"/>
      <c r="D2" s="90"/>
      <c r="E2" s="90"/>
      <c r="F2" s="90"/>
      <c r="G2" s="90"/>
      <c r="H2" s="204" t="s">
        <v>0</v>
      </c>
    </row>
    <row r="3" spans="1:8" x14ac:dyDescent="0.35">
      <c r="A3" s="23"/>
      <c r="B3" s="100">
        <v>2021</v>
      </c>
      <c r="C3" s="100">
        <v>2022</v>
      </c>
      <c r="D3" s="100">
        <v>2023</v>
      </c>
      <c r="E3" s="100">
        <v>2024</v>
      </c>
      <c r="F3" s="100">
        <v>2025</v>
      </c>
      <c r="G3" s="100">
        <v>2026</v>
      </c>
      <c r="H3" s="100">
        <v>2027</v>
      </c>
    </row>
    <row r="4" spans="1:8" ht="15" thickBot="1" x14ac:dyDescent="0.4">
      <c r="A4" s="440" t="s">
        <v>419</v>
      </c>
      <c r="B4" s="441" t="e">
        <f>#REF!</f>
        <v>#REF!</v>
      </c>
      <c r="C4" s="441" t="e">
        <f>#REF!</f>
        <v>#REF!</v>
      </c>
      <c r="D4" s="441" t="e">
        <f>#REF!</f>
        <v>#REF!</v>
      </c>
      <c r="E4" s="441" t="e">
        <f>#REF!</f>
        <v>#REF!</v>
      </c>
      <c r="F4" s="441" t="e">
        <f>#REF!</f>
        <v>#REF!</v>
      </c>
      <c r="G4" s="441" t="e">
        <f>#REF!</f>
        <v>#REF!</v>
      </c>
      <c r="H4" s="441" t="e">
        <f>#REF!</f>
        <v>#REF!</v>
      </c>
    </row>
    <row r="5" spans="1:8" s="398" customFormat="1" ht="15" thickTop="1" x14ac:dyDescent="0.35">
      <c r="A5" s="397"/>
      <c r="B5" s="396"/>
      <c r="C5" s="396"/>
      <c r="D5" s="396"/>
      <c r="E5" s="396"/>
      <c r="F5" s="396"/>
      <c r="G5" s="396"/>
      <c r="H5" s="396"/>
    </row>
    <row r="6" spans="1:8" x14ac:dyDescent="0.35">
      <c r="A6" s="21" t="s">
        <v>417</v>
      </c>
      <c r="B6" s="100">
        <v>2021</v>
      </c>
      <c r="C6" s="100">
        <v>2022</v>
      </c>
      <c r="D6" s="100">
        <v>2023</v>
      </c>
      <c r="E6" s="100">
        <v>2024</v>
      </c>
      <c r="F6" s="100">
        <v>2025</v>
      </c>
      <c r="G6" s="100">
        <v>2026</v>
      </c>
      <c r="H6" s="100">
        <v>2027</v>
      </c>
    </row>
    <row r="7" spans="1:8" x14ac:dyDescent="0.35">
      <c r="A7" s="6" t="s">
        <v>23</v>
      </c>
      <c r="B7" s="210" t="e">
        <f>#REF!</f>
        <v>#REF!</v>
      </c>
      <c r="C7" s="210" t="e">
        <f>#REF!</f>
        <v>#REF!</v>
      </c>
      <c r="D7" s="210" t="e">
        <f>#REF!</f>
        <v>#REF!</v>
      </c>
      <c r="E7" s="210" t="e">
        <f>#REF!</f>
        <v>#REF!</v>
      </c>
      <c r="F7" s="210" t="e">
        <f>#REF!</f>
        <v>#REF!</v>
      </c>
      <c r="G7" s="210" t="e">
        <f>#REF!</f>
        <v>#REF!</v>
      </c>
      <c r="H7" s="210" t="e">
        <f>#REF!</f>
        <v>#REF!</v>
      </c>
    </row>
    <row r="8" spans="1:8" x14ac:dyDescent="0.35">
      <c r="A8" s="9" t="s">
        <v>437</v>
      </c>
      <c r="B8" s="210" t="e">
        <f>#REF!</f>
        <v>#REF!</v>
      </c>
      <c r="C8" s="210" t="e">
        <f>#REF!</f>
        <v>#REF!</v>
      </c>
      <c r="D8" s="210" t="e">
        <f>#REF!</f>
        <v>#REF!</v>
      </c>
      <c r="E8" s="210" t="e">
        <f>#REF!</f>
        <v>#REF!</v>
      </c>
      <c r="F8" s="210" t="e">
        <f>#REF!</f>
        <v>#REF!</v>
      </c>
      <c r="G8" s="210" t="e">
        <f>#REF!</f>
        <v>#REF!</v>
      </c>
      <c r="H8" s="210" t="e">
        <f>#REF!</f>
        <v>#REF!</v>
      </c>
    </row>
    <row r="9" spans="1:8" x14ac:dyDescent="0.35">
      <c r="A9" s="1" t="s">
        <v>384</v>
      </c>
      <c r="B9" s="210" t="e">
        <f>#REF!</f>
        <v>#REF!</v>
      </c>
      <c r="C9" s="210" t="e">
        <f>#REF!</f>
        <v>#REF!</v>
      </c>
      <c r="D9" s="210" t="e">
        <f>#REF!</f>
        <v>#REF!</v>
      </c>
      <c r="E9" s="210" t="e">
        <f>#REF!</f>
        <v>#REF!</v>
      </c>
      <c r="F9" s="210" t="e">
        <f>#REF!</f>
        <v>#REF!</v>
      </c>
      <c r="G9" s="210" t="e">
        <f>#REF!</f>
        <v>#REF!</v>
      </c>
      <c r="H9" s="210" t="e">
        <f>#REF!</f>
        <v>#REF!</v>
      </c>
    </row>
    <row r="10" spans="1:8" x14ac:dyDescent="0.35">
      <c r="A10" s="1" t="s">
        <v>385</v>
      </c>
      <c r="B10" s="210" t="e">
        <f>#REF!</f>
        <v>#REF!</v>
      </c>
      <c r="C10" s="210" t="e">
        <f>#REF!</f>
        <v>#REF!</v>
      </c>
      <c r="D10" s="210" t="e">
        <f>#REF!</f>
        <v>#REF!</v>
      </c>
      <c r="E10" s="210" t="e">
        <f>#REF!</f>
        <v>#REF!</v>
      </c>
      <c r="F10" s="210" t="e">
        <f>#REF!</f>
        <v>#REF!</v>
      </c>
      <c r="G10" s="210" t="e">
        <f>#REF!</f>
        <v>#REF!</v>
      </c>
      <c r="H10" s="210" t="e">
        <f>#REF!</f>
        <v>#REF!</v>
      </c>
    </row>
    <row r="11" spans="1:8" x14ac:dyDescent="0.35">
      <c r="A11" s="111" t="s">
        <v>438</v>
      </c>
      <c r="B11" s="210" t="e">
        <f>#REF!</f>
        <v>#REF!</v>
      </c>
      <c r="C11" s="210" t="e">
        <f>#REF!</f>
        <v>#REF!</v>
      </c>
      <c r="D11" s="210" t="e">
        <f>#REF!</f>
        <v>#REF!</v>
      </c>
      <c r="E11" s="210" t="e">
        <f>#REF!</f>
        <v>#REF!</v>
      </c>
      <c r="F11" s="210" t="e">
        <f>#REF!</f>
        <v>#REF!</v>
      </c>
      <c r="G11" s="210" t="e">
        <f>#REF!</f>
        <v>#REF!</v>
      </c>
      <c r="H11" s="210" t="e">
        <f>#REF!</f>
        <v>#REF!</v>
      </c>
    </row>
    <row r="12" spans="1:8" x14ac:dyDescent="0.35">
      <c r="A12" s="30" t="s">
        <v>31</v>
      </c>
      <c r="B12" s="46" t="e">
        <f>#REF!</f>
        <v>#REF!</v>
      </c>
      <c r="C12" s="46" t="e">
        <f>#REF!</f>
        <v>#REF!</v>
      </c>
      <c r="D12" s="46" t="e">
        <f>#REF!</f>
        <v>#REF!</v>
      </c>
      <c r="E12" s="46" t="e">
        <f>#REF!</f>
        <v>#REF!</v>
      </c>
      <c r="F12" s="46" t="e">
        <f>#REF!</f>
        <v>#REF!</v>
      </c>
      <c r="G12" s="46" t="e">
        <f>#REF!</f>
        <v>#REF!</v>
      </c>
      <c r="H12" s="46" t="e">
        <f>#REF!</f>
        <v>#REF!</v>
      </c>
    </row>
    <row r="13" spans="1:8" x14ac:dyDescent="0.35">
      <c r="A13" s="102" t="s">
        <v>32</v>
      </c>
      <c r="B13" s="103" t="e">
        <f>SUM(B7:B12)</f>
        <v>#REF!</v>
      </c>
      <c r="C13" s="103" t="e">
        <f t="shared" ref="C13:H13" si="0">SUM(C7:C12)</f>
        <v>#REF!</v>
      </c>
      <c r="D13" s="103" t="e">
        <f t="shared" si="0"/>
        <v>#REF!</v>
      </c>
      <c r="E13" s="103" t="e">
        <f t="shared" si="0"/>
        <v>#REF!</v>
      </c>
      <c r="F13" s="103" t="e">
        <f t="shared" si="0"/>
        <v>#REF!</v>
      </c>
      <c r="G13" s="103" t="e">
        <f t="shared" si="0"/>
        <v>#REF!</v>
      </c>
      <c r="H13" s="103" t="e">
        <f t="shared" si="0"/>
        <v>#REF!</v>
      </c>
    </row>
    <row r="14" spans="1:8" hidden="1" x14ac:dyDescent="0.35">
      <c r="A14" s="102"/>
      <c r="B14" s="104">
        <v>0.6728580854319024</v>
      </c>
      <c r="C14" s="104">
        <v>0.66742514610445625</v>
      </c>
      <c r="D14" s="104">
        <v>0.65069312368455645</v>
      </c>
      <c r="E14" s="104">
        <v>0.66455270959575974</v>
      </c>
      <c r="F14" s="104">
        <v>0.66672762292586485</v>
      </c>
      <c r="G14" s="104">
        <v>0.6688755096259057</v>
      </c>
      <c r="H14" s="104">
        <v>0.68236894431973683</v>
      </c>
    </row>
    <row r="15" spans="1:8" ht="16.899999999999999" customHeight="1" x14ac:dyDescent="0.35">
      <c r="A15" s="105" t="s">
        <v>33</v>
      </c>
      <c r="B15" s="46" t="e">
        <f>#REF!</f>
        <v>#REF!</v>
      </c>
      <c r="C15" s="46" t="e">
        <f>#REF!</f>
        <v>#REF!</v>
      </c>
      <c r="D15" s="46" t="e">
        <f>#REF!</f>
        <v>#REF!</v>
      </c>
      <c r="E15" s="46" t="e">
        <f>#REF!</f>
        <v>#REF!</v>
      </c>
      <c r="F15" s="46" t="e">
        <f>#REF!</f>
        <v>#REF!</v>
      </c>
      <c r="G15" s="46" t="e">
        <f>#REF!</f>
        <v>#REF!</v>
      </c>
      <c r="H15" s="46" t="e">
        <f>#REF!</f>
        <v>#REF!</v>
      </c>
    </row>
    <row r="16" spans="1:8" x14ac:dyDescent="0.35">
      <c r="A16" s="111" t="s">
        <v>34</v>
      </c>
      <c r="B16" s="46" t="e">
        <f>#REF!</f>
        <v>#REF!</v>
      </c>
      <c r="C16" s="46" t="e">
        <f>#REF!</f>
        <v>#REF!</v>
      </c>
      <c r="D16" s="46" t="e">
        <f>#REF!</f>
        <v>#REF!</v>
      </c>
      <c r="E16" s="46" t="e">
        <f>#REF!</f>
        <v>#REF!</v>
      </c>
      <c r="F16" s="46" t="e">
        <f>#REF!</f>
        <v>#REF!</v>
      </c>
      <c r="G16" s="46" t="e">
        <f>#REF!</f>
        <v>#REF!</v>
      </c>
      <c r="H16" s="46" t="e">
        <f>#REF!</f>
        <v>#REF!</v>
      </c>
    </row>
    <row r="17" spans="1:8" x14ac:dyDescent="0.35">
      <c r="A17" s="111" t="s">
        <v>35</v>
      </c>
      <c r="B17" s="46" t="e">
        <f>#REF!</f>
        <v>#REF!</v>
      </c>
      <c r="C17" s="46" t="e">
        <f>#REF!</f>
        <v>#REF!</v>
      </c>
      <c r="D17" s="46" t="e">
        <f>#REF!</f>
        <v>#REF!</v>
      </c>
      <c r="E17" s="46" t="e">
        <f>#REF!</f>
        <v>#REF!</v>
      </c>
      <c r="F17" s="46" t="e">
        <f>#REF!</f>
        <v>#REF!</v>
      </c>
      <c r="G17" s="46" t="e">
        <f>#REF!</f>
        <v>#REF!</v>
      </c>
      <c r="H17" s="46" t="e">
        <f>#REF!</f>
        <v>#REF!</v>
      </c>
    </row>
    <row r="18" spans="1:8" ht="17.25" customHeight="1" x14ac:dyDescent="0.35">
      <c r="A18" s="400" t="s">
        <v>386</v>
      </c>
      <c r="B18" s="46" t="e">
        <f>#REF!</f>
        <v>#REF!</v>
      </c>
      <c r="C18" s="46" t="e">
        <f>#REF!</f>
        <v>#REF!</v>
      </c>
      <c r="D18" s="46" t="e">
        <f>#REF!</f>
        <v>#REF!</v>
      </c>
      <c r="E18" s="46" t="e">
        <f>#REF!</f>
        <v>#REF!</v>
      </c>
      <c r="F18" s="46" t="e">
        <f>#REF!</f>
        <v>#REF!</v>
      </c>
      <c r="G18" s="46" t="e">
        <f>#REF!</f>
        <v>#REF!</v>
      </c>
      <c r="H18" s="46" t="e">
        <f>#REF!</f>
        <v>#REF!</v>
      </c>
    </row>
    <row r="19" spans="1:8" x14ac:dyDescent="0.35">
      <c r="A19" s="30" t="s">
        <v>448</v>
      </c>
      <c r="B19" s="46" t="e">
        <f>#REF!</f>
        <v>#REF!</v>
      </c>
      <c r="C19" s="46" t="e">
        <f>#REF!</f>
        <v>#REF!</v>
      </c>
      <c r="D19" s="46" t="e">
        <f>#REF!</f>
        <v>#REF!</v>
      </c>
      <c r="E19" s="46" t="e">
        <f>#REF!</f>
        <v>#REF!</v>
      </c>
      <c r="F19" s="46" t="e">
        <f>#REF!</f>
        <v>#REF!</v>
      </c>
      <c r="G19" s="46" t="e">
        <f>#REF!</f>
        <v>#REF!</v>
      </c>
      <c r="H19" s="46" t="e">
        <f>#REF!</f>
        <v>#REF!</v>
      </c>
    </row>
    <row r="20" spans="1:8" x14ac:dyDescent="0.35">
      <c r="A20" s="106" t="s">
        <v>42</v>
      </c>
      <c r="B20" s="103" t="e">
        <f>SUM(B15:B19)</f>
        <v>#REF!</v>
      </c>
      <c r="C20" s="103" t="e">
        <f t="shared" ref="C20:H20" si="1">SUM(C15:C19)</f>
        <v>#REF!</v>
      </c>
      <c r="D20" s="103" t="e">
        <f t="shared" si="1"/>
        <v>#REF!</v>
      </c>
      <c r="E20" s="103" t="e">
        <f t="shared" si="1"/>
        <v>#REF!</v>
      </c>
      <c r="F20" s="103" t="e">
        <f>SUM(F15:F19)</f>
        <v>#REF!</v>
      </c>
      <c r="G20" s="103" t="e">
        <f>SUM(G15:G19)</f>
        <v>#REF!</v>
      </c>
      <c r="H20" s="103" t="e">
        <f t="shared" si="1"/>
        <v>#REF!</v>
      </c>
    </row>
    <row r="21" spans="1:8" hidden="1" x14ac:dyDescent="0.35">
      <c r="A21" s="106"/>
      <c r="B21" s="104">
        <v>0.22393610482334148</v>
      </c>
      <c r="C21" s="104">
        <v>0.23035455085300238</v>
      </c>
      <c r="D21" s="104">
        <v>0.24979852077878412</v>
      </c>
      <c r="E21" s="104">
        <v>0.23397223714660964</v>
      </c>
      <c r="F21" s="104">
        <v>0.23161881253919359</v>
      </c>
      <c r="G21" s="104">
        <v>0.22929781872393168</v>
      </c>
      <c r="H21" s="104">
        <v>0.2139079828579516</v>
      </c>
    </row>
    <row r="22" spans="1:8" ht="29" x14ac:dyDescent="0.35">
      <c r="A22" s="107" t="s">
        <v>43</v>
      </c>
      <c r="B22" s="46" t="e">
        <f>#REF!</f>
        <v>#REF!</v>
      </c>
      <c r="C22" s="46" t="e">
        <f>#REF!</f>
        <v>#REF!</v>
      </c>
      <c r="D22" s="46" t="e">
        <f>#REF!</f>
        <v>#REF!</v>
      </c>
      <c r="E22" s="46" t="e">
        <f>#REF!</f>
        <v>#REF!</v>
      </c>
      <c r="F22" s="46" t="e">
        <f>#REF!</f>
        <v>#REF!</v>
      </c>
      <c r="G22" s="46" t="e">
        <f>#REF!</f>
        <v>#REF!</v>
      </c>
      <c r="H22" s="46" t="e">
        <f>#REF!</f>
        <v>#REF!</v>
      </c>
    </row>
    <row r="23" spans="1:8" x14ac:dyDescent="0.35">
      <c r="A23" s="106" t="s">
        <v>44</v>
      </c>
      <c r="B23" s="103" t="e">
        <f>B22</f>
        <v>#REF!</v>
      </c>
      <c r="C23" s="103" t="e">
        <f t="shared" ref="C23:H23" si="2">C22</f>
        <v>#REF!</v>
      </c>
      <c r="D23" s="103" t="e">
        <f t="shared" si="2"/>
        <v>#REF!</v>
      </c>
      <c r="E23" s="103" t="e">
        <f t="shared" si="2"/>
        <v>#REF!</v>
      </c>
      <c r="F23" s="103" t="e">
        <f t="shared" si="2"/>
        <v>#REF!</v>
      </c>
      <c r="G23" s="103" t="e">
        <f t="shared" si="2"/>
        <v>#REF!</v>
      </c>
      <c r="H23" s="103" t="e">
        <f t="shared" si="2"/>
        <v>#REF!</v>
      </c>
    </row>
    <row r="24" spans="1:8" hidden="1" x14ac:dyDescent="0.35">
      <c r="A24" s="106"/>
      <c r="B24" s="104">
        <v>0.10320580974475629</v>
      </c>
      <c r="C24" s="104">
        <v>0.10222030304254136</v>
      </c>
      <c r="D24" s="104">
        <v>9.9508355536659432E-2</v>
      </c>
      <c r="E24" s="104">
        <v>0.10147505325763076</v>
      </c>
      <c r="F24" s="104">
        <v>0.10165356453494166</v>
      </c>
      <c r="G24" s="104">
        <v>0.10182667165016274</v>
      </c>
      <c r="H24" s="104">
        <v>0.10372307282231152</v>
      </c>
    </row>
    <row r="25" spans="1:8" x14ac:dyDescent="0.35">
      <c r="A25" s="21" t="s">
        <v>418</v>
      </c>
      <c r="B25" s="108" t="e">
        <f>B13+B20+B23</f>
        <v>#REF!</v>
      </c>
      <c r="C25" s="108" t="e">
        <f t="shared" ref="C25:H25" si="3">C13+C20+C23</f>
        <v>#REF!</v>
      </c>
      <c r="D25" s="108" t="e">
        <f t="shared" si="3"/>
        <v>#REF!</v>
      </c>
      <c r="E25" s="108" t="e">
        <f t="shared" si="3"/>
        <v>#REF!</v>
      </c>
      <c r="F25" s="108" t="e">
        <f t="shared" si="3"/>
        <v>#REF!</v>
      </c>
      <c r="G25" s="108" t="e">
        <f t="shared" si="3"/>
        <v>#REF!</v>
      </c>
      <c r="H25" s="108" t="e">
        <f t="shared" si="3"/>
        <v>#REF!</v>
      </c>
    </row>
    <row r="26" spans="1:8" x14ac:dyDescent="0.35">
      <c r="A26" s="47"/>
    </row>
    <row r="27" spans="1:8" x14ac:dyDescent="0.35">
      <c r="A27" s="49"/>
    </row>
    <row r="28" spans="1:8" x14ac:dyDescent="0.35">
      <c r="A28" s="49"/>
      <c r="B28" s="90"/>
      <c r="C28" s="90"/>
      <c r="D28" s="90"/>
      <c r="E28" s="90"/>
      <c r="F28" s="90"/>
      <c r="G28" s="90"/>
      <c r="H28" s="90"/>
    </row>
    <row r="29" spans="1:8" x14ac:dyDescent="0.35">
      <c r="A29" s="49"/>
    </row>
    <row r="30" spans="1:8" s="211" customFormat="1" x14ac:dyDescent="0.35">
      <c r="A30" s="204"/>
      <c r="B30" s="399"/>
    </row>
    <row r="31" spans="1:8" ht="28.5" customHeight="1" x14ac:dyDescent="0.35"/>
  </sheetData>
  <pageMargins left="0.7" right="0.7" top="0.75" bottom="0.75" header="0.3" footer="0.3"/>
  <pageSetup paperSize="9" orientation="landscape" r:id="rId1"/>
  <customProperties>
    <customPr name="EpmWorksheetKeyString_GUID"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IO51"/>
  <sheetViews>
    <sheetView topLeftCell="A17" zoomScaleNormal="100" workbookViewId="0">
      <selection activeCell="N31" activeCellId="1" sqref="M34 N31"/>
    </sheetView>
  </sheetViews>
  <sheetFormatPr defaultColWidth="14.7265625" defaultRowHeight="13" x14ac:dyDescent="0.3"/>
  <cols>
    <col min="1" max="1" width="25" style="256" customWidth="1"/>
    <col min="2" max="8" width="6.1796875" style="259" customWidth="1"/>
    <col min="9" max="9" width="58.1796875" style="260" customWidth="1"/>
    <col min="10" max="11" width="5.453125" style="261" bestFit="1" customWidth="1"/>
    <col min="12" max="12" width="5.7265625" style="261" bestFit="1" customWidth="1"/>
    <col min="13" max="13" width="12.54296875" style="261" customWidth="1"/>
    <col min="14" max="14" width="18.54296875" style="217" customWidth="1"/>
    <col min="15" max="241" width="8.7265625" style="217" customWidth="1"/>
    <col min="242" max="242" width="39.7265625" style="217" customWidth="1"/>
    <col min="243" max="245" width="6.1796875" style="217" customWidth="1"/>
    <col min="246" max="246" width="8.453125" style="217" bestFit="1" customWidth="1"/>
    <col min="247" max="247" width="12.54296875" style="217" bestFit="1" customWidth="1"/>
    <col min="248" max="248" width="27.26953125" style="217" bestFit="1" customWidth="1"/>
    <col min="249" max="249" width="9.1796875" style="217" customWidth="1"/>
    <col min="250" max="250" width="14.7265625" style="217"/>
    <col min="251" max="251" width="32.81640625" style="217" customWidth="1"/>
    <col min="252" max="255" width="5.54296875" style="217" customWidth="1"/>
    <col min="256" max="256" width="7" style="217" customWidth="1"/>
    <col min="257" max="264" width="5.54296875" style="217" customWidth="1"/>
    <col min="265" max="265" width="55" style="217" customWidth="1"/>
    <col min="266" max="266" width="8.7265625" style="217" customWidth="1"/>
    <col min="267" max="267" width="8.1796875" style="217" customWidth="1"/>
    <col min="268" max="268" width="7.1796875" style="217" customWidth="1"/>
    <col min="269" max="269" width="16.54296875" style="217" bestFit="1" customWidth="1"/>
    <col min="270" max="270" width="18.54296875" style="217" customWidth="1"/>
    <col min="271" max="497" width="8.7265625" style="217" customWidth="1"/>
    <col min="498" max="498" width="39.7265625" style="217" customWidth="1"/>
    <col min="499" max="501" width="6.1796875" style="217" customWidth="1"/>
    <col min="502" max="502" width="8.453125" style="217" bestFit="1" customWidth="1"/>
    <col min="503" max="503" width="12.54296875" style="217" bestFit="1" customWidth="1"/>
    <col min="504" max="504" width="27.26953125" style="217" bestFit="1" customWidth="1"/>
    <col min="505" max="505" width="9.1796875" style="217" customWidth="1"/>
    <col min="506" max="506" width="14.7265625" style="217"/>
    <col min="507" max="507" width="32.81640625" style="217" customWidth="1"/>
    <col min="508" max="511" width="5.54296875" style="217" customWidth="1"/>
    <col min="512" max="512" width="7" style="217" customWidth="1"/>
    <col min="513" max="520" width="5.54296875" style="217" customWidth="1"/>
    <col min="521" max="521" width="55" style="217" customWidth="1"/>
    <col min="522" max="522" width="8.7265625" style="217" customWidth="1"/>
    <col min="523" max="523" width="8.1796875" style="217" customWidth="1"/>
    <col min="524" max="524" width="7.1796875" style="217" customWidth="1"/>
    <col min="525" max="525" width="16.54296875" style="217" bestFit="1" customWidth="1"/>
    <col min="526" max="526" width="18.54296875" style="217" customWidth="1"/>
    <col min="527" max="753" width="8.7265625" style="217" customWidth="1"/>
    <col min="754" max="754" width="39.7265625" style="217" customWidth="1"/>
    <col min="755" max="757" width="6.1796875" style="217" customWidth="1"/>
    <col min="758" max="758" width="8.453125" style="217" bestFit="1" customWidth="1"/>
    <col min="759" max="759" width="12.54296875" style="217" bestFit="1" customWidth="1"/>
    <col min="760" max="760" width="27.26953125" style="217" bestFit="1" customWidth="1"/>
    <col min="761" max="761" width="9.1796875" style="217" customWidth="1"/>
    <col min="762" max="762" width="14.7265625" style="217"/>
    <col min="763" max="763" width="32.81640625" style="217" customWidth="1"/>
    <col min="764" max="767" width="5.54296875" style="217" customWidth="1"/>
    <col min="768" max="768" width="7" style="217" customWidth="1"/>
    <col min="769" max="776" width="5.54296875" style="217" customWidth="1"/>
    <col min="777" max="777" width="55" style="217" customWidth="1"/>
    <col min="778" max="778" width="8.7265625" style="217" customWidth="1"/>
    <col min="779" max="779" width="8.1796875" style="217" customWidth="1"/>
    <col min="780" max="780" width="7.1796875" style="217" customWidth="1"/>
    <col min="781" max="781" width="16.54296875" style="217" bestFit="1" customWidth="1"/>
    <col min="782" max="782" width="18.54296875" style="217" customWidth="1"/>
    <col min="783" max="1009" width="8.7265625" style="217" customWidth="1"/>
    <col min="1010" max="1010" width="39.7265625" style="217" customWidth="1"/>
    <col min="1011" max="1013" width="6.1796875" style="217" customWidth="1"/>
    <col min="1014" max="1014" width="8.453125" style="217" bestFit="1" customWidth="1"/>
    <col min="1015" max="1015" width="12.54296875" style="217" bestFit="1" customWidth="1"/>
    <col min="1016" max="1016" width="27.26953125" style="217" bestFit="1" customWidth="1"/>
    <col min="1017" max="1017" width="9.1796875" style="217" customWidth="1"/>
    <col min="1018" max="1018" width="14.7265625" style="217"/>
    <col min="1019" max="1019" width="32.81640625" style="217" customWidth="1"/>
    <col min="1020" max="1023" width="5.54296875" style="217" customWidth="1"/>
    <col min="1024" max="1024" width="7" style="217" customWidth="1"/>
    <col min="1025" max="1032" width="5.54296875" style="217" customWidth="1"/>
    <col min="1033" max="1033" width="55" style="217" customWidth="1"/>
    <col min="1034" max="1034" width="8.7265625" style="217" customWidth="1"/>
    <col min="1035" max="1035" width="8.1796875" style="217" customWidth="1"/>
    <col min="1036" max="1036" width="7.1796875" style="217" customWidth="1"/>
    <col min="1037" max="1037" width="16.54296875" style="217" bestFit="1" customWidth="1"/>
    <col min="1038" max="1038" width="18.54296875" style="217" customWidth="1"/>
    <col min="1039" max="1265" width="8.7265625" style="217" customWidth="1"/>
    <col min="1266" max="1266" width="39.7265625" style="217" customWidth="1"/>
    <col min="1267" max="1269" width="6.1796875" style="217" customWidth="1"/>
    <col min="1270" max="1270" width="8.453125" style="217" bestFit="1" customWidth="1"/>
    <col min="1271" max="1271" width="12.54296875" style="217" bestFit="1" customWidth="1"/>
    <col min="1272" max="1272" width="27.26953125" style="217" bestFit="1" customWidth="1"/>
    <col min="1273" max="1273" width="9.1796875" style="217" customWidth="1"/>
    <col min="1274" max="1274" width="14.7265625" style="217"/>
    <col min="1275" max="1275" width="32.81640625" style="217" customWidth="1"/>
    <col min="1276" max="1279" width="5.54296875" style="217" customWidth="1"/>
    <col min="1280" max="1280" width="7" style="217" customWidth="1"/>
    <col min="1281" max="1288" width="5.54296875" style="217" customWidth="1"/>
    <col min="1289" max="1289" width="55" style="217" customWidth="1"/>
    <col min="1290" max="1290" width="8.7265625" style="217" customWidth="1"/>
    <col min="1291" max="1291" width="8.1796875" style="217" customWidth="1"/>
    <col min="1292" max="1292" width="7.1796875" style="217" customWidth="1"/>
    <col min="1293" max="1293" width="16.54296875" style="217" bestFit="1" customWidth="1"/>
    <col min="1294" max="1294" width="18.54296875" style="217" customWidth="1"/>
    <col min="1295" max="1521" width="8.7265625" style="217" customWidth="1"/>
    <col min="1522" max="1522" width="39.7265625" style="217" customWidth="1"/>
    <col min="1523" max="1525" width="6.1796875" style="217" customWidth="1"/>
    <col min="1526" max="1526" width="8.453125" style="217" bestFit="1" customWidth="1"/>
    <col min="1527" max="1527" width="12.54296875" style="217" bestFit="1" customWidth="1"/>
    <col min="1528" max="1528" width="27.26953125" style="217" bestFit="1" customWidth="1"/>
    <col min="1529" max="1529" width="9.1796875" style="217" customWidth="1"/>
    <col min="1530" max="1530" width="14.7265625" style="217"/>
    <col min="1531" max="1531" width="32.81640625" style="217" customWidth="1"/>
    <col min="1532" max="1535" width="5.54296875" style="217" customWidth="1"/>
    <col min="1536" max="1536" width="7" style="217" customWidth="1"/>
    <col min="1537" max="1544" width="5.54296875" style="217" customWidth="1"/>
    <col min="1545" max="1545" width="55" style="217" customWidth="1"/>
    <col min="1546" max="1546" width="8.7265625" style="217" customWidth="1"/>
    <col min="1547" max="1547" width="8.1796875" style="217" customWidth="1"/>
    <col min="1548" max="1548" width="7.1796875" style="217" customWidth="1"/>
    <col min="1549" max="1549" width="16.54296875" style="217" bestFit="1" customWidth="1"/>
    <col min="1550" max="1550" width="18.54296875" style="217" customWidth="1"/>
    <col min="1551" max="1777" width="8.7265625" style="217" customWidth="1"/>
    <col min="1778" max="1778" width="39.7265625" style="217" customWidth="1"/>
    <col min="1779" max="1781" width="6.1796875" style="217" customWidth="1"/>
    <col min="1782" max="1782" width="8.453125" style="217" bestFit="1" customWidth="1"/>
    <col min="1783" max="1783" width="12.54296875" style="217" bestFit="1" customWidth="1"/>
    <col min="1784" max="1784" width="27.26953125" style="217" bestFit="1" customWidth="1"/>
    <col min="1785" max="1785" width="9.1796875" style="217" customWidth="1"/>
    <col min="1786" max="1786" width="14.7265625" style="217"/>
    <col min="1787" max="1787" width="32.81640625" style="217" customWidth="1"/>
    <col min="1788" max="1791" width="5.54296875" style="217" customWidth="1"/>
    <col min="1792" max="1792" width="7" style="217" customWidth="1"/>
    <col min="1793" max="1800" width="5.54296875" style="217" customWidth="1"/>
    <col min="1801" max="1801" width="55" style="217" customWidth="1"/>
    <col min="1802" max="1802" width="8.7265625" style="217" customWidth="1"/>
    <col min="1803" max="1803" width="8.1796875" style="217" customWidth="1"/>
    <col min="1804" max="1804" width="7.1796875" style="217" customWidth="1"/>
    <col min="1805" max="1805" width="16.54296875" style="217" bestFit="1" customWidth="1"/>
    <col min="1806" max="1806" width="18.54296875" style="217" customWidth="1"/>
    <col min="1807" max="2033" width="8.7265625" style="217" customWidth="1"/>
    <col min="2034" max="2034" width="39.7265625" style="217" customWidth="1"/>
    <col min="2035" max="2037" width="6.1796875" style="217" customWidth="1"/>
    <col min="2038" max="2038" width="8.453125" style="217" bestFit="1" customWidth="1"/>
    <col min="2039" max="2039" width="12.54296875" style="217" bestFit="1" customWidth="1"/>
    <col min="2040" max="2040" width="27.26953125" style="217" bestFit="1" customWidth="1"/>
    <col min="2041" max="2041" width="9.1796875" style="217" customWidth="1"/>
    <col min="2042" max="2042" width="14.7265625" style="217"/>
    <col min="2043" max="2043" width="32.81640625" style="217" customWidth="1"/>
    <col min="2044" max="2047" width="5.54296875" style="217" customWidth="1"/>
    <col min="2048" max="2048" width="7" style="217" customWidth="1"/>
    <col min="2049" max="2056" width="5.54296875" style="217" customWidth="1"/>
    <col min="2057" max="2057" width="55" style="217" customWidth="1"/>
    <col min="2058" max="2058" width="8.7265625" style="217" customWidth="1"/>
    <col min="2059" max="2059" width="8.1796875" style="217" customWidth="1"/>
    <col min="2060" max="2060" width="7.1796875" style="217" customWidth="1"/>
    <col min="2061" max="2061" width="16.54296875" style="217" bestFit="1" customWidth="1"/>
    <col min="2062" max="2062" width="18.54296875" style="217" customWidth="1"/>
    <col min="2063" max="2289" width="8.7265625" style="217" customWidth="1"/>
    <col min="2290" max="2290" width="39.7265625" style="217" customWidth="1"/>
    <col min="2291" max="2293" width="6.1796875" style="217" customWidth="1"/>
    <col min="2294" max="2294" width="8.453125" style="217" bestFit="1" customWidth="1"/>
    <col min="2295" max="2295" width="12.54296875" style="217" bestFit="1" customWidth="1"/>
    <col min="2296" max="2296" width="27.26953125" style="217" bestFit="1" customWidth="1"/>
    <col min="2297" max="2297" width="9.1796875" style="217" customWidth="1"/>
    <col min="2298" max="2298" width="14.7265625" style="217"/>
    <col min="2299" max="2299" width="32.81640625" style="217" customWidth="1"/>
    <col min="2300" max="2303" width="5.54296875" style="217" customWidth="1"/>
    <col min="2304" max="2304" width="7" style="217" customWidth="1"/>
    <col min="2305" max="2312" width="5.54296875" style="217" customWidth="1"/>
    <col min="2313" max="2313" width="55" style="217" customWidth="1"/>
    <col min="2314" max="2314" width="8.7265625" style="217" customWidth="1"/>
    <col min="2315" max="2315" width="8.1796875" style="217" customWidth="1"/>
    <col min="2316" max="2316" width="7.1796875" style="217" customWidth="1"/>
    <col min="2317" max="2317" width="16.54296875" style="217" bestFit="1" customWidth="1"/>
    <col min="2318" max="2318" width="18.54296875" style="217" customWidth="1"/>
    <col min="2319" max="2545" width="8.7265625" style="217" customWidth="1"/>
    <col min="2546" max="2546" width="39.7265625" style="217" customWidth="1"/>
    <col min="2547" max="2549" width="6.1796875" style="217" customWidth="1"/>
    <col min="2550" max="2550" width="8.453125" style="217" bestFit="1" customWidth="1"/>
    <col min="2551" max="2551" width="12.54296875" style="217" bestFit="1" customWidth="1"/>
    <col min="2552" max="2552" width="27.26953125" style="217" bestFit="1" customWidth="1"/>
    <col min="2553" max="2553" width="9.1796875" style="217" customWidth="1"/>
    <col min="2554" max="2554" width="14.7265625" style="217"/>
    <col min="2555" max="2555" width="32.81640625" style="217" customWidth="1"/>
    <col min="2556" max="2559" width="5.54296875" style="217" customWidth="1"/>
    <col min="2560" max="2560" width="7" style="217" customWidth="1"/>
    <col min="2561" max="2568" width="5.54296875" style="217" customWidth="1"/>
    <col min="2569" max="2569" width="55" style="217" customWidth="1"/>
    <col min="2570" max="2570" width="8.7265625" style="217" customWidth="1"/>
    <col min="2571" max="2571" width="8.1796875" style="217" customWidth="1"/>
    <col min="2572" max="2572" width="7.1796875" style="217" customWidth="1"/>
    <col min="2573" max="2573" width="16.54296875" style="217" bestFit="1" customWidth="1"/>
    <col min="2574" max="2574" width="18.54296875" style="217" customWidth="1"/>
    <col min="2575" max="2801" width="8.7265625" style="217" customWidth="1"/>
    <col min="2802" max="2802" width="39.7265625" style="217" customWidth="1"/>
    <col min="2803" max="2805" width="6.1796875" style="217" customWidth="1"/>
    <col min="2806" max="2806" width="8.453125" style="217" bestFit="1" customWidth="1"/>
    <col min="2807" max="2807" width="12.54296875" style="217" bestFit="1" customWidth="1"/>
    <col min="2808" max="2808" width="27.26953125" style="217" bestFit="1" customWidth="1"/>
    <col min="2809" max="2809" width="9.1796875" style="217" customWidth="1"/>
    <col min="2810" max="2810" width="14.7265625" style="217"/>
    <col min="2811" max="2811" width="32.81640625" style="217" customWidth="1"/>
    <col min="2812" max="2815" width="5.54296875" style="217" customWidth="1"/>
    <col min="2816" max="2816" width="7" style="217" customWidth="1"/>
    <col min="2817" max="2824" width="5.54296875" style="217" customWidth="1"/>
    <col min="2825" max="2825" width="55" style="217" customWidth="1"/>
    <col min="2826" max="2826" width="8.7265625" style="217" customWidth="1"/>
    <col min="2827" max="2827" width="8.1796875" style="217" customWidth="1"/>
    <col min="2828" max="2828" width="7.1796875" style="217" customWidth="1"/>
    <col min="2829" max="2829" width="16.54296875" style="217" bestFit="1" customWidth="1"/>
    <col min="2830" max="2830" width="18.54296875" style="217" customWidth="1"/>
    <col min="2831" max="3057" width="8.7265625" style="217" customWidth="1"/>
    <col min="3058" max="3058" width="39.7265625" style="217" customWidth="1"/>
    <col min="3059" max="3061" width="6.1796875" style="217" customWidth="1"/>
    <col min="3062" max="3062" width="8.453125" style="217" bestFit="1" customWidth="1"/>
    <col min="3063" max="3063" width="12.54296875" style="217" bestFit="1" customWidth="1"/>
    <col min="3064" max="3064" width="27.26953125" style="217" bestFit="1" customWidth="1"/>
    <col min="3065" max="3065" width="9.1796875" style="217" customWidth="1"/>
    <col min="3066" max="3066" width="14.7265625" style="217"/>
    <col min="3067" max="3067" width="32.81640625" style="217" customWidth="1"/>
    <col min="3068" max="3071" width="5.54296875" style="217" customWidth="1"/>
    <col min="3072" max="3072" width="7" style="217" customWidth="1"/>
    <col min="3073" max="3080" width="5.54296875" style="217" customWidth="1"/>
    <col min="3081" max="3081" width="55" style="217" customWidth="1"/>
    <col min="3082" max="3082" width="8.7265625" style="217" customWidth="1"/>
    <col min="3083" max="3083" width="8.1796875" style="217" customWidth="1"/>
    <col min="3084" max="3084" width="7.1796875" style="217" customWidth="1"/>
    <col min="3085" max="3085" width="16.54296875" style="217" bestFit="1" customWidth="1"/>
    <col min="3086" max="3086" width="18.54296875" style="217" customWidth="1"/>
    <col min="3087" max="3313" width="8.7265625" style="217" customWidth="1"/>
    <col min="3314" max="3314" width="39.7265625" style="217" customWidth="1"/>
    <col min="3315" max="3317" width="6.1796875" style="217" customWidth="1"/>
    <col min="3318" max="3318" width="8.453125" style="217" bestFit="1" customWidth="1"/>
    <col min="3319" max="3319" width="12.54296875" style="217" bestFit="1" customWidth="1"/>
    <col min="3320" max="3320" width="27.26953125" style="217" bestFit="1" customWidth="1"/>
    <col min="3321" max="3321" width="9.1796875" style="217" customWidth="1"/>
    <col min="3322" max="3322" width="14.7265625" style="217"/>
    <col min="3323" max="3323" width="32.81640625" style="217" customWidth="1"/>
    <col min="3324" max="3327" width="5.54296875" style="217" customWidth="1"/>
    <col min="3328" max="3328" width="7" style="217" customWidth="1"/>
    <col min="3329" max="3336" width="5.54296875" style="217" customWidth="1"/>
    <col min="3337" max="3337" width="55" style="217" customWidth="1"/>
    <col min="3338" max="3338" width="8.7265625" style="217" customWidth="1"/>
    <col min="3339" max="3339" width="8.1796875" style="217" customWidth="1"/>
    <col min="3340" max="3340" width="7.1796875" style="217" customWidth="1"/>
    <col min="3341" max="3341" width="16.54296875" style="217" bestFit="1" customWidth="1"/>
    <col min="3342" max="3342" width="18.54296875" style="217" customWidth="1"/>
    <col min="3343" max="3569" width="8.7265625" style="217" customWidth="1"/>
    <col min="3570" max="3570" width="39.7265625" style="217" customWidth="1"/>
    <col min="3571" max="3573" width="6.1796875" style="217" customWidth="1"/>
    <col min="3574" max="3574" width="8.453125" style="217" bestFit="1" customWidth="1"/>
    <col min="3575" max="3575" width="12.54296875" style="217" bestFit="1" customWidth="1"/>
    <col min="3576" max="3576" width="27.26953125" style="217" bestFit="1" customWidth="1"/>
    <col min="3577" max="3577" width="9.1796875" style="217" customWidth="1"/>
    <col min="3578" max="3578" width="14.7265625" style="217"/>
    <col min="3579" max="3579" width="32.81640625" style="217" customWidth="1"/>
    <col min="3580" max="3583" width="5.54296875" style="217" customWidth="1"/>
    <col min="3584" max="3584" width="7" style="217" customWidth="1"/>
    <col min="3585" max="3592" width="5.54296875" style="217" customWidth="1"/>
    <col min="3593" max="3593" width="55" style="217" customWidth="1"/>
    <col min="3594" max="3594" width="8.7265625" style="217" customWidth="1"/>
    <col min="3595" max="3595" width="8.1796875" style="217" customWidth="1"/>
    <col min="3596" max="3596" width="7.1796875" style="217" customWidth="1"/>
    <col min="3597" max="3597" width="16.54296875" style="217" bestFit="1" customWidth="1"/>
    <col min="3598" max="3598" width="18.54296875" style="217" customWidth="1"/>
    <col min="3599" max="3825" width="8.7265625" style="217" customWidth="1"/>
    <col min="3826" max="3826" width="39.7265625" style="217" customWidth="1"/>
    <col min="3827" max="3829" width="6.1796875" style="217" customWidth="1"/>
    <col min="3830" max="3830" width="8.453125" style="217" bestFit="1" customWidth="1"/>
    <col min="3831" max="3831" width="12.54296875" style="217" bestFit="1" customWidth="1"/>
    <col min="3832" max="3832" width="27.26953125" style="217" bestFit="1" customWidth="1"/>
    <col min="3833" max="3833" width="9.1796875" style="217" customWidth="1"/>
    <col min="3834" max="3834" width="14.7265625" style="217"/>
    <col min="3835" max="3835" width="32.81640625" style="217" customWidth="1"/>
    <col min="3836" max="3839" width="5.54296875" style="217" customWidth="1"/>
    <col min="3840" max="3840" width="7" style="217" customWidth="1"/>
    <col min="3841" max="3848" width="5.54296875" style="217" customWidth="1"/>
    <col min="3849" max="3849" width="55" style="217" customWidth="1"/>
    <col min="3850" max="3850" width="8.7265625" style="217" customWidth="1"/>
    <col min="3851" max="3851" width="8.1796875" style="217" customWidth="1"/>
    <col min="3852" max="3852" width="7.1796875" style="217" customWidth="1"/>
    <col min="3853" max="3853" width="16.54296875" style="217" bestFit="1" customWidth="1"/>
    <col min="3854" max="3854" width="18.54296875" style="217" customWidth="1"/>
    <col min="3855" max="4081" width="8.7265625" style="217" customWidth="1"/>
    <col min="4082" max="4082" width="39.7265625" style="217" customWidth="1"/>
    <col min="4083" max="4085" width="6.1796875" style="217" customWidth="1"/>
    <col min="4086" max="4086" width="8.453125" style="217" bestFit="1" customWidth="1"/>
    <col min="4087" max="4087" width="12.54296875" style="217" bestFit="1" customWidth="1"/>
    <col min="4088" max="4088" width="27.26953125" style="217" bestFit="1" customWidth="1"/>
    <col min="4089" max="4089" width="9.1796875" style="217" customWidth="1"/>
    <col min="4090" max="4090" width="14.7265625" style="217"/>
    <col min="4091" max="4091" width="32.81640625" style="217" customWidth="1"/>
    <col min="4092" max="4095" width="5.54296875" style="217" customWidth="1"/>
    <col min="4096" max="4096" width="7" style="217" customWidth="1"/>
    <col min="4097" max="4104" width="5.54296875" style="217" customWidth="1"/>
    <col min="4105" max="4105" width="55" style="217" customWidth="1"/>
    <col min="4106" max="4106" width="8.7265625" style="217" customWidth="1"/>
    <col min="4107" max="4107" width="8.1796875" style="217" customWidth="1"/>
    <col min="4108" max="4108" width="7.1796875" style="217" customWidth="1"/>
    <col min="4109" max="4109" width="16.54296875" style="217" bestFit="1" customWidth="1"/>
    <col min="4110" max="4110" width="18.54296875" style="217" customWidth="1"/>
    <col min="4111" max="4337" width="8.7265625" style="217" customWidth="1"/>
    <col min="4338" max="4338" width="39.7265625" style="217" customWidth="1"/>
    <col min="4339" max="4341" width="6.1796875" style="217" customWidth="1"/>
    <col min="4342" max="4342" width="8.453125" style="217" bestFit="1" customWidth="1"/>
    <col min="4343" max="4343" width="12.54296875" style="217" bestFit="1" customWidth="1"/>
    <col min="4344" max="4344" width="27.26953125" style="217" bestFit="1" customWidth="1"/>
    <col min="4345" max="4345" width="9.1796875" style="217" customWidth="1"/>
    <col min="4346" max="4346" width="14.7265625" style="217"/>
    <col min="4347" max="4347" width="32.81640625" style="217" customWidth="1"/>
    <col min="4348" max="4351" width="5.54296875" style="217" customWidth="1"/>
    <col min="4352" max="4352" width="7" style="217" customWidth="1"/>
    <col min="4353" max="4360" width="5.54296875" style="217" customWidth="1"/>
    <col min="4361" max="4361" width="55" style="217" customWidth="1"/>
    <col min="4362" max="4362" width="8.7265625" style="217" customWidth="1"/>
    <col min="4363" max="4363" width="8.1796875" style="217" customWidth="1"/>
    <col min="4364" max="4364" width="7.1796875" style="217" customWidth="1"/>
    <col min="4365" max="4365" width="16.54296875" style="217" bestFit="1" customWidth="1"/>
    <col min="4366" max="4366" width="18.54296875" style="217" customWidth="1"/>
    <col min="4367" max="4593" width="8.7265625" style="217" customWidth="1"/>
    <col min="4594" max="4594" width="39.7265625" style="217" customWidth="1"/>
    <col min="4595" max="4597" width="6.1796875" style="217" customWidth="1"/>
    <col min="4598" max="4598" width="8.453125" style="217" bestFit="1" customWidth="1"/>
    <col min="4599" max="4599" width="12.54296875" style="217" bestFit="1" customWidth="1"/>
    <col min="4600" max="4600" width="27.26953125" style="217" bestFit="1" customWidth="1"/>
    <col min="4601" max="4601" width="9.1796875" style="217" customWidth="1"/>
    <col min="4602" max="4602" width="14.7265625" style="217"/>
    <col min="4603" max="4603" width="32.81640625" style="217" customWidth="1"/>
    <col min="4604" max="4607" width="5.54296875" style="217" customWidth="1"/>
    <col min="4608" max="4608" width="7" style="217" customWidth="1"/>
    <col min="4609" max="4616" width="5.54296875" style="217" customWidth="1"/>
    <col min="4617" max="4617" width="55" style="217" customWidth="1"/>
    <col min="4618" max="4618" width="8.7265625" style="217" customWidth="1"/>
    <col min="4619" max="4619" width="8.1796875" style="217" customWidth="1"/>
    <col min="4620" max="4620" width="7.1796875" style="217" customWidth="1"/>
    <col min="4621" max="4621" width="16.54296875" style="217" bestFit="1" customWidth="1"/>
    <col min="4622" max="4622" width="18.54296875" style="217" customWidth="1"/>
    <col min="4623" max="4849" width="8.7265625" style="217" customWidth="1"/>
    <col min="4850" max="4850" width="39.7265625" style="217" customWidth="1"/>
    <col min="4851" max="4853" width="6.1796875" style="217" customWidth="1"/>
    <col min="4854" max="4854" width="8.453125" style="217" bestFit="1" customWidth="1"/>
    <col min="4855" max="4855" width="12.54296875" style="217" bestFit="1" customWidth="1"/>
    <col min="4856" max="4856" width="27.26953125" style="217" bestFit="1" customWidth="1"/>
    <col min="4857" max="4857" width="9.1796875" style="217" customWidth="1"/>
    <col min="4858" max="4858" width="14.7265625" style="217"/>
    <col min="4859" max="4859" width="32.81640625" style="217" customWidth="1"/>
    <col min="4860" max="4863" width="5.54296875" style="217" customWidth="1"/>
    <col min="4864" max="4864" width="7" style="217" customWidth="1"/>
    <col min="4865" max="4872" width="5.54296875" style="217" customWidth="1"/>
    <col min="4873" max="4873" width="55" style="217" customWidth="1"/>
    <col min="4874" max="4874" width="8.7265625" style="217" customWidth="1"/>
    <col min="4875" max="4875" width="8.1796875" style="217" customWidth="1"/>
    <col min="4876" max="4876" width="7.1796875" style="217" customWidth="1"/>
    <col min="4877" max="4877" width="16.54296875" style="217" bestFit="1" customWidth="1"/>
    <col min="4878" max="4878" width="18.54296875" style="217" customWidth="1"/>
    <col min="4879" max="5105" width="8.7265625" style="217" customWidth="1"/>
    <col min="5106" max="5106" width="39.7265625" style="217" customWidth="1"/>
    <col min="5107" max="5109" width="6.1796875" style="217" customWidth="1"/>
    <col min="5110" max="5110" width="8.453125" style="217" bestFit="1" customWidth="1"/>
    <col min="5111" max="5111" width="12.54296875" style="217" bestFit="1" customWidth="1"/>
    <col min="5112" max="5112" width="27.26953125" style="217" bestFit="1" customWidth="1"/>
    <col min="5113" max="5113" width="9.1796875" style="217" customWidth="1"/>
    <col min="5114" max="5114" width="14.7265625" style="217"/>
    <col min="5115" max="5115" width="32.81640625" style="217" customWidth="1"/>
    <col min="5116" max="5119" width="5.54296875" style="217" customWidth="1"/>
    <col min="5120" max="5120" width="7" style="217" customWidth="1"/>
    <col min="5121" max="5128" width="5.54296875" style="217" customWidth="1"/>
    <col min="5129" max="5129" width="55" style="217" customWidth="1"/>
    <col min="5130" max="5130" width="8.7265625" style="217" customWidth="1"/>
    <col min="5131" max="5131" width="8.1796875" style="217" customWidth="1"/>
    <col min="5132" max="5132" width="7.1796875" style="217" customWidth="1"/>
    <col min="5133" max="5133" width="16.54296875" style="217" bestFit="1" customWidth="1"/>
    <col min="5134" max="5134" width="18.54296875" style="217" customWidth="1"/>
    <col min="5135" max="5361" width="8.7265625" style="217" customWidth="1"/>
    <col min="5362" max="5362" width="39.7265625" style="217" customWidth="1"/>
    <col min="5363" max="5365" width="6.1796875" style="217" customWidth="1"/>
    <col min="5366" max="5366" width="8.453125" style="217" bestFit="1" customWidth="1"/>
    <col min="5367" max="5367" width="12.54296875" style="217" bestFit="1" customWidth="1"/>
    <col min="5368" max="5368" width="27.26953125" style="217" bestFit="1" customWidth="1"/>
    <col min="5369" max="5369" width="9.1796875" style="217" customWidth="1"/>
    <col min="5370" max="5370" width="14.7265625" style="217"/>
    <col min="5371" max="5371" width="32.81640625" style="217" customWidth="1"/>
    <col min="5372" max="5375" width="5.54296875" style="217" customWidth="1"/>
    <col min="5376" max="5376" width="7" style="217" customWidth="1"/>
    <col min="5377" max="5384" width="5.54296875" style="217" customWidth="1"/>
    <col min="5385" max="5385" width="55" style="217" customWidth="1"/>
    <col min="5386" max="5386" width="8.7265625" style="217" customWidth="1"/>
    <col min="5387" max="5387" width="8.1796875" style="217" customWidth="1"/>
    <col min="5388" max="5388" width="7.1796875" style="217" customWidth="1"/>
    <col min="5389" max="5389" width="16.54296875" style="217" bestFit="1" customWidth="1"/>
    <col min="5390" max="5390" width="18.54296875" style="217" customWidth="1"/>
    <col min="5391" max="5617" width="8.7265625" style="217" customWidth="1"/>
    <col min="5618" max="5618" width="39.7265625" style="217" customWidth="1"/>
    <col min="5619" max="5621" width="6.1796875" style="217" customWidth="1"/>
    <col min="5622" max="5622" width="8.453125" style="217" bestFit="1" customWidth="1"/>
    <col min="5623" max="5623" width="12.54296875" style="217" bestFit="1" customWidth="1"/>
    <col min="5624" max="5624" width="27.26953125" style="217" bestFit="1" customWidth="1"/>
    <col min="5625" max="5625" width="9.1796875" style="217" customWidth="1"/>
    <col min="5626" max="5626" width="14.7265625" style="217"/>
    <col min="5627" max="5627" width="32.81640625" style="217" customWidth="1"/>
    <col min="5628" max="5631" width="5.54296875" style="217" customWidth="1"/>
    <col min="5632" max="5632" width="7" style="217" customWidth="1"/>
    <col min="5633" max="5640" width="5.54296875" style="217" customWidth="1"/>
    <col min="5641" max="5641" width="55" style="217" customWidth="1"/>
    <col min="5642" max="5642" width="8.7265625" style="217" customWidth="1"/>
    <col min="5643" max="5643" width="8.1796875" style="217" customWidth="1"/>
    <col min="5644" max="5644" width="7.1796875" style="217" customWidth="1"/>
    <col min="5645" max="5645" width="16.54296875" style="217" bestFit="1" customWidth="1"/>
    <col min="5646" max="5646" width="18.54296875" style="217" customWidth="1"/>
    <col min="5647" max="5873" width="8.7265625" style="217" customWidth="1"/>
    <col min="5874" max="5874" width="39.7265625" style="217" customWidth="1"/>
    <col min="5875" max="5877" width="6.1796875" style="217" customWidth="1"/>
    <col min="5878" max="5878" width="8.453125" style="217" bestFit="1" customWidth="1"/>
    <col min="5879" max="5879" width="12.54296875" style="217" bestFit="1" customWidth="1"/>
    <col min="5880" max="5880" width="27.26953125" style="217" bestFit="1" customWidth="1"/>
    <col min="5881" max="5881" width="9.1796875" style="217" customWidth="1"/>
    <col min="5882" max="5882" width="14.7265625" style="217"/>
    <col min="5883" max="5883" width="32.81640625" style="217" customWidth="1"/>
    <col min="5884" max="5887" width="5.54296875" style="217" customWidth="1"/>
    <col min="5888" max="5888" width="7" style="217" customWidth="1"/>
    <col min="5889" max="5896" width="5.54296875" style="217" customWidth="1"/>
    <col min="5897" max="5897" width="55" style="217" customWidth="1"/>
    <col min="5898" max="5898" width="8.7265625" style="217" customWidth="1"/>
    <col min="5899" max="5899" width="8.1796875" style="217" customWidth="1"/>
    <col min="5900" max="5900" width="7.1796875" style="217" customWidth="1"/>
    <col min="5901" max="5901" width="16.54296875" style="217" bestFit="1" customWidth="1"/>
    <col min="5902" max="5902" width="18.54296875" style="217" customWidth="1"/>
    <col min="5903" max="6129" width="8.7265625" style="217" customWidth="1"/>
    <col min="6130" max="6130" width="39.7265625" style="217" customWidth="1"/>
    <col min="6131" max="6133" width="6.1796875" style="217" customWidth="1"/>
    <col min="6134" max="6134" width="8.453125" style="217" bestFit="1" customWidth="1"/>
    <col min="6135" max="6135" width="12.54296875" style="217" bestFit="1" customWidth="1"/>
    <col min="6136" max="6136" width="27.26953125" style="217" bestFit="1" customWidth="1"/>
    <col min="6137" max="6137" width="9.1796875" style="217" customWidth="1"/>
    <col min="6138" max="6138" width="14.7265625" style="217"/>
    <col min="6139" max="6139" width="32.81640625" style="217" customWidth="1"/>
    <col min="6140" max="6143" width="5.54296875" style="217" customWidth="1"/>
    <col min="6144" max="6144" width="7" style="217" customWidth="1"/>
    <col min="6145" max="6152" width="5.54296875" style="217" customWidth="1"/>
    <col min="6153" max="6153" width="55" style="217" customWidth="1"/>
    <col min="6154" max="6154" width="8.7265625" style="217" customWidth="1"/>
    <col min="6155" max="6155" width="8.1796875" style="217" customWidth="1"/>
    <col min="6156" max="6156" width="7.1796875" style="217" customWidth="1"/>
    <col min="6157" max="6157" width="16.54296875" style="217" bestFit="1" customWidth="1"/>
    <col min="6158" max="6158" width="18.54296875" style="217" customWidth="1"/>
    <col min="6159" max="6385" width="8.7265625" style="217" customWidth="1"/>
    <col min="6386" max="6386" width="39.7265625" style="217" customWidth="1"/>
    <col min="6387" max="6389" width="6.1796875" style="217" customWidth="1"/>
    <col min="6390" max="6390" width="8.453125" style="217" bestFit="1" customWidth="1"/>
    <col min="6391" max="6391" width="12.54296875" style="217" bestFit="1" customWidth="1"/>
    <col min="6392" max="6392" width="27.26953125" style="217" bestFit="1" customWidth="1"/>
    <col min="6393" max="6393" width="9.1796875" style="217" customWidth="1"/>
    <col min="6394" max="6394" width="14.7265625" style="217"/>
    <col min="6395" max="6395" width="32.81640625" style="217" customWidth="1"/>
    <col min="6396" max="6399" width="5.54296875" style="217" customWidth="1"/>
    <col min="6400" max="6400" width="7" style="217" customWidth="1"/>
    <col min="6401" max="6408" width="5.54296875" style="217" customWidth="1"/>
    <col min="6409" max="6409" width="55" style="217" customWidth="1"/>
    <col min="6410" max="6410" width="8.7265625" style="217" customWidth="1"/>
    <col min="6411" max="6411" width="8.1796875" style="217" customWidth="1"/>
    <col min="6412" max="6412" width="7.1796875" style="217" customWidth="1"/>
    <col min="6413" max="6413" width="16.54296875" style="217" bestFit="1" customWidth="1"/>
    <col min="6414" max="6414" width="18.54296875" style="217" customWidth="1"/>
    <col min="6415" max="6641" width="8.7265625" style="217" customWidth="1"/>
    <col min="6642" max="6642" width="39.7265625" style="217" customWidth="1"/>
    <col min="6643" max="6645" width="6.1796875" style="217" customWidth="1"/>
    <col min="6646" max="6646" width="8.453125" style="217" bestFit="1" customWidth="1"/>
    <col min="6647" max="6647" width="12.54296875" style="217" bestFit="1" customWidth="1"/>
    <col min="6648" max="6648" width="27.26953125" style="217" bestFit="1" customWidth="1"/>
    <col min="6649" max="6649" width="9.1796875" style="217" customWidth="1"/>
    <col min="6650" max="6650" width="14.7265625" style="217"/>
    <col min="6651" max="6651" width="32.81640625" style="217" customWidth="1"/>
    <col min="6652" max="6655" width="5.54296875" style="217" customWidth="1"/>
    <col min="6656" max="6656" width="7" style="217" customWidth="1"/>
    <col min="6657" max="6664" width="5.54296875" style="217" customWidth="1"/>
    <col min="6665" max="6665" width="55" style="217" customWidth="1"/>
    <col min="6666" max="6666" width="8.7265625" style="217" customWidth="1"/>
    <col min="6667" max="6667" width="8.1796875" style="217" customWidth="1"/>
    <col min="6668" max="6668" width="7.1796875" style="217" customWidth="1"/>
    <col min="6669" max="6669" width="16.54296875" style="217" bestFit="1" customWidth="1"/>
    <col min="6670" max="6670" width="18.54296875" style="217" customWidth="1"/>
    <col min="6671" max="6897" width="8.7265625" style="217" customWidth="1"/>
    <col min="6898" max="6898" width="39.7265625" style="217" customWidth="1"/>
    <col min="6899" max="6901" width="6.1796875" style="217" customWidth="1"/>
    <col min="6902" max="6902" width="8.453125" style="217" bestFit="1" customWidth="1"/>
    <col min="6903" max="6903" width="12.54296875" style="217" bestFit="1" customWidth="1"/>
    <col min="6904" max="6904" width="27.26953125" style="217" bestFit="1" customWidth="1"/>
    <col min="6905" max="6905" width="9.1796875" style="217" customWidth="1"/>
    <col min="6906" max="6906" width="14.7265625" style="217"/>
    <col min="6907" max="6907" width="32.81640625" style="217" customWidth="1"/>
    <col min="6908" max="6911" width="5.54296875" style="217" customWidth="1"/>
    <col min="6912" max="6912" width="7" style="217" customWidth="1"/>
    <col min="6913" max="6920" width="5.54296875" style="217" customWidth="1"/>
    <col min="6921" max="6921" width="55" style="217" customWidth="1"/>
    <col min="6922" max="6922" width="8.7265625" style="217" customWidth="1"/>
    <col min="6923" max="6923" width="8.1796875" style="217" customWidth="1"/>
    <col min="6924" max="6924" width="7.1796875" style="217" customWidth="1"/>
    <col min="6925" max="6925" width="16.54296875" style="217" bestFit="1" customWidth="1"/>
    <col min="6926" max="6926" width="18.54296875" style="217" customWidth="1"/>
    <col min="6927" max="7153" width="8.7265625" style="217" customWidth="1"/>
    <col min="7154" max="7154" width="39.7265625" style="217" customWidth="1"/>
    <col min="7155" max="7157" width="6.1796875" style="217" customWidth="1"/>
    <col min="7158" max="7158" width="8.453125" style="217" bestFit="1" customWidth="1"/>
    <col min="7159" max="7159" width="12.54296875" style="217" bestFit="1" customWidth="1"/>
    <col min="7160" max="7160" width="27.26953125" style="217" bestFit="1" customWidth="1"/>
    <col min="7161" max="7161" width="9.1796875" style="217" customWidth="1"/>
    <col min="7162" max="7162" width="14.7265625" style="217"/>
    <col min="7163" max="7163" width="32.81640625" style="217" customWidth="1"/>
    <col min="7164" max="7167" width="5.54296875" style="217" customWidth="1"/>
    <col min="7168" max="7168" width="7" style="217" customWidth="1"/>
    <col min="7169" max="7176" width="5.54296875" style="217" customWidth="1"/>
    <col min="7177" max="7177" width="55" style="217" customWidth="1"/>
    <col min="7178" max="7178" width="8.7265625" style="217" customWidth="1"/>
    <col min="7179" max="7179" width="8.1796875" style="217" customWidth="1"/>
    <col min="7180" max="7180" width="7.1796875" style="217" customWidth="1"/>
    <col min="7181" max="7181" width="16.54296875" style="217" bestFit="1" customWidth="1"/>
    <col min="7182" max="7182" width="18.54296875" style="217" customWidth="1"/>
    <col min="7183" max="7409" width="8.7265625" style="217" customWidth="1"/>
    <col min="7410" max="7410" width="39.7265625" style="217" customWidth="1"/>
    <col min="7411" max="7413" width="6.1796875" style="217" customWidth="1"/>
    <col min="7414" max="7414" width="8.453125" style="217" bestFit="1" customWidth="1"/>
    <col min="7415" max="7415" width="12.54296875" style="217" bestFit="1" customWidth="1"/>
    <col min="7416" max="7416" width="27.26953125" style="217" bestFit="1" customWidth="1"/>
    <col min="7417" max="7417" width="9.1796875" style="217" customWidth="1"/>
    <col min="7418" max="7418" width="14.7265625" style="217"/>
    <col min="7419" max="7419" width="32.81640625" style="217" customWidth="1"/>
    <col min="7420" max="7423" width="5.54296875" style="217" customWidth="1"/>
    <col min="7424" max="7424" width="7" style="217" customWidth="1"/>
    <col min="7425" max="7432" width="5.54296875" style="217" customWidth="1"/>
    <col min="7433" max="7433" width="55" style="217" customWidth="1"/>
    <col min="7434" max="7434" width="8.7265625" style="217" customWidth="1"/>
    <col min="7435" max="7435" width="8.1796875" style="217" customWidth="1"/>
    <col min="7436" max="7436" width="7.1796875" style="217" customWidth="1"/>
    <col min="7437" max="7437" width="16.54296875" style="217" bestFit="1" customWidth="1"/>
    <col min="7438" max="7438" width="18.54296875" style="217" customWidth="1"/>
    <col min="7439" max="7665" width="8.7265625" style="217" customWidth="1"/>
    <col min="7666" max="7666" width="39.7265625" style="217" customWidth="1"/>
    <col min="7667" max="7669" width="6.1796875" style="217" customWidth="1"/>
    <col min="7670" max="7670" width="8.453125" style="217" bestFit="1" customWidth="1"/>
    <col min="7671" max="7671" width="12.54296875" style="217" bestFit="1" customWidth="1"/>
    <col min="7672" max="7672" width="27.26953125" style="217" bestFit="1" customWidth="1"/>
    <col min="7673" max="7673" width="9.1796875" style="217" customWidth="1"/>
    <col min="7674" max="7674" width="14.7265625" style="217"/>
    <col min="7675" max="7675" width="32.81640625" style="217" customWidth="1"/>
    <col min="7676" max="7679" width="5.54296875" style="217" customWidth="1"/>
    <col min="7680" max="7680" width="7" style="217" customWidth="1"/>
    <col min="7681" max="7688" width="5.54296875" style="217" customWidth="1"/>
    <col min="7689" max="7689" width="55" style="217" customWidth="1"/>
    <col min="7690" max="7690" width="8.7265625" style="217" customWidth="1"/>
    <col min="7691" max="7691" width="8.1796875" style="217" customWidth="1"/>
    <col min="7692" max="7692" width="7.1796875" style="217" customWidth="1"/>
    <col min="7693" max="7693" width="16.54296875" style="217" bestFit="1" customWidth="1"/>
    <col min="7694" max="7694" width="18.54296875" style="217" customWidth="1"/>
    <col min="7695" max="7921" width="8.7265625" style="217" customWidth="1"/>
    <col min="7922" max="7922" width="39.7265625" style="217" customWidth="1"/>
    <col min="7923" max="7925" width="6.1796875" style="217" customWidth="1"/>
    <col min="7926" max="7926" width="8.453125" style="217" bestFit="1" customWidth="1"/>
    <col min="7927" max="7927" width="12.54296875" style="217" bestFit="1" customWidth="1"/>
    <col min="7928" max="7928" width="27.26953125" style="217" bestFit="1" customWidth="1"/>
    <col min="7929" max="7929" width="9.1796875" style="217" customWidth="1"/>
    <col min="7930" max="7930" width="14.7265625" style="217"/>
    <col min="7931" max="7931" width="32.81640625" style="217" customWidth="1"/>
    <col min="7932" max="7935" width="5.54296875" style="217" customWidth="1"/>
    <col min="7936" max="7936" width="7" style="217" customWidth="1"/>
    <col min="7937" max="7944" width="5.54296875" style="217" customWidth="1"/>
    <col min="7945" max="7945" width="55" style="217" customWidth="1"/>
    <col min="7946" max="7946" width="8.7265625" style="217" customWidth="1"/>
    <col min="7947" max="7947" width="8.1796875" style="217" customWidth="1"/>
    <col min="7948" max="7948" width="7.1796875" style="217" customWidth="1"/>
    <col min="7949" max="7949" width="16.54296875" style="217" bestFit="1" customWidth="1"/>
    <col min="7950" max="7950" width="18.54296875" style="217" customWidth="1"/>
    <col min="7951" max="8177" width="8.7265625" style="217" customWidth="1"/>
    <col min="8178" max="8178" width="39.7265625" style="217" customWidth="1"/>
    <col min="8179" max="8181" width="6.1796875" style="217" customWidth="1"/>
    <col min="8182" max="8182" width="8.453125" style="217" bestFit="1" customWidth="1"/>
    <col min="8183" max="8183" width="12.54296875" style="217" bestFit="1" customWidth="1"/>
    <col min="8184" max="8184" width="27.26953125" style="217" bestFit="1" customWidth="1"/>
    <col min="8185" max="8185" width="9.1796875" style="217" customWidth="1"/>
    <col min="8186" max="8186" width="14.7265625" style="217"/>
    <col min="8187" max="8187" width="32.81640625" style="217" customWidth="1"/>
    <col min="8188" max="8191" width="5.54296875" style="217" customWidth="1"/>
    <col min="8192" max="8192" width="7" style="217" customWidth="1"/>
    <col min="8193" max="8200" width="5.54296875" style="217" customWidth="1"/>
    <col min="8201" max="8201" width="55" style="217" customWidth="1"/>
    <col min="8202" max="8202" width="8.7265625" style="217" customWidth="1"/>
    <col min="8203" max="8203" width="8.1796875" style="217" customWidth="1"/>
    <col min="8204" max="8204" width="7.1796875" style="217" customWidth="1"/>
    <col min="8205" max="8205" width="16.54296875" style="217" bestFit="1" customWidth="1"/>
    <col min="8206" max="8206" width="18.54296875" style="217" customWidth="1"/>
    <col min="8207" max="8433" width="8.7265625" style="217" customWidth="1"/>
    <col min="8434" max="8434" width="39.7265625" style="217" customWidth="1"/>
    <col min="8435" max="8437" width="6.1796875" style="217" customWidth="1"/>
    <col min="8438" max="8438" width="8.453125" style="217" bestFit="1" customWidth="1"/>
    <col min="8439" max="8439" width="12.54296875" style="217" bestFit="1" customWidth="1"/>
    <col min="8440" max="8440" width="27.26953125" style="217" bestFit="1" customWidth="1"/>
    <col min="8441" max="8441" width="9.1796875" style="217" customWidth="1"/>
    <col min="8442" max="8442" width="14.7265625" style="217"/>
    <col min="8443" max="8443" width="32.81640625" style="217" customWidth="1"/>
    <col min="8444" max="8447" width="5.54296875" style="217" customWidth="1"/>
    <col min="8448" max="8448" width="7" style="217" customWidth="1"/>
    <col min="8449" max="8456" width="5.54296875" style="217" customWidth="1"/>
    <col min="8457" max="8457" width="55" style="217" customWidth="1"/>
    <col min="8458" max="8458" width="8.7265625" style="217" customWidth="1"/>
    <col min="8459" max="8459" width="8.1796875" style="217" customWidth="1"/>
    <col min="8460" max="8460" width="7.1796875" style="217" customWidth="1"/>
    <col min="8461" max="8461" width="16.54296875" style="217" bestFit="1" customWidth="1"/>
    <col min="8462" max="8462" width="18.54296875" style="217" customWidth="1"/>
    <col min="8463" max="8689" width="8.7265625" style="217" customWidth="1"/>
    <col min="8690" max="8690" width="39.7265625" style="217" customWidth="1"/>
    <col min="8691" max="8693" width="6.1796875" style="217" customWidth="1"/>
    <col min="8694" max="8694" width="8.453125" style="217" bestFit="1" customWidth="1"/>
    <col min="8695" max="8695" width="12.54296875" style="217" bestFit="1" customWidth="1"/>
    <col min="8696" max="8696" width="27.26953125" style="217" bestFit="1" customWidth="1"/>
    <col min="8697" max="8697" width="9.1796875" style="217" customWidth="1"/>
    <col min="8698" max="8698" width="14.7265625" style="217"/>
    <col min="8699" max="8699" width="32.81640625" style="217" customWidth="1"/>
    <col min="8700" max="8703" width="5.54296875" style="217" customWidth="1"/>
    <col min="8704" max="8704" width="7" style="217" customWidth="1"/>
    <col min="8705" max="8712" width="5.54296875" style="217" customWidth="1"/>
    <col min="8713" max="8713" width="55" style="217" customWidth="1"/>
    <col min="8714" max="8714" width="8.7265625" style="217" customWidth="1"/>
    <col min="8715" max="8715" width="8.1796875" style="217" customWidth="1"/>
    <col min="8716" max="8716" width="7.1796875" style="217" customWidth="1"/>
    <col min="8717" max="8717" width="16.54296875" style="217" bestFit="1" customWidth="1"/>
    <col min="8718" max="8718" width="18.54296875" style="217" customWidth="1"/>
    <col min="8719" max="8945" width="8.7265625" style="217" customWidth="1"/>
    <col min="8946" max="8946" width="39.7265625" style="217" customWidth="1"/>
    <col min="8947" max="8949" width="6.1796875" style="217" customWidth="1"/>
    <col min="8950" max="8950" width="8.453125" style="217" bestFit="1" customWidth="1"/>
    <col min="8951" max="8951" width="12.54296875" style="217" bestFit="1" customWidth="1"/>
    <col min="8952" max="8952" width="27.26953125" style="217" bestFit="1" customWidth="1"/>
    <col min="8953" max="8953" width="9.1796875" style="217" customWidth="1"/>
    <col min="8954" max="8954" width="14.7265625" style="217"/>
    <col min="8955" max="8955" width="32.81640625" style="217" customWidth="1"/>
    <col min="8956" max="8959" width="5.54296875" style="217" customWidth="1"/>
    <col min="8960" max="8960" width="7" style="217" customWidth="1"/>
    <col min="8961" max="8968" width="5.54296875" style="217" customWidth="1"/>
    <col min="8969" max="8969" width="55" style="217" customWidth="1"/>
    <col min="8970" max="8970" width="8.7265625" style="217" customWidth="1"/>
    <col min="8971" max="8971" width="8.1796875" style="217" customWidth="1"/>
    <col min="8972" max="8972" width="7.1796875" style="217" customWidth="1"/>
    <col min="8973" max="8973" width="16.54296875" style="217" bestFit="1" customWidth="1"/>
    <col min="8974" max="8974" width="18.54296875" style="217" customWidth="1"/>
    <col min="8975" max="9201" width="8.7265625" style="217" customWidth="1"/>
    <col min="9202" max="9202" width="39.7265625" style="217" customWidth="1"/>
    <col min="9203" max="9205" width="6.1796875" style="217" customWidth="1"/>
    <col min="9206" max="9206" width="8.453125" style="217" bestFit="1" customWidth="1"/>
    <col min="9207" max="9207" width="12.54296875" style="217" bestFit="1" customWidth="1"/>
    <col min="9208" max="9208" width="27.26953125" style="217" bestFit="1" customWidth="1"/>
    <col min="9209" max="9209" width="9.1796875" style="217" customWidth="1"/>
    <col min="9210" max="9210" width="14.7265625" style="217"/>
    <col min="9211" max="9211" width="32.81640625" style="217" customWidth="1"/>
    <col min="9212" max="9215" width="5.54296875" style="217" customWidth="1"/>
    <col min="9216" max="9216" width="7" style="217" customWidth="1"/>
    <col min="9217" max="9224" width="5.54296875" style="217" customWidth="1"/>
    <col min="9225" max="9225" width="55" style="217" customWidth="1"/>
    <col min="9226" max="9226" width="8.7265625" style="217" customWidth="1"/>
    <col min="9227" max="9227" width="8.1796875" style="217" customWidth="1"/>
    <col min="9228" max="9228" width="7.1796875" style="217" customWidth="1"/>
    <col min="9229" max="9229" width="16.54296875" style="217" bestFit="1" customWidth="1"/>
    <col min="9230" max="9230" width="18.54296875" style="217" customWidth="1"/>
    <col min="9231" max="9457" width="8.7265625" style="217" customWidth="1"/>
    <col min="9458" max="9458" width="39.7265625" style="217" customWidth="1"/>
    <col min="9459" max="9461" width="6.1796875" style="217" customWidth="1"/>
    <col min="9462" max="9462" width="8.453125" style="217" bestFit="1" customWidth="1"/>
    <col min="9463" max="9463" width="12.54296875" style="217" bestFit="1" customWidth="1"/>
    <col min="9464" max="9464" width="27.26953125" style="217" bestFit="1" customWidth="1"/>
    <col min="9465" max="9465" width="9.1796875" style="217" customWidth="1"/>
    <col min="9466" max="9466" width="14.7265625" style="217"/>
    <col min="9467" max="9467" width="32.81640625" style="217" customWidth="1"/>
    <col min="9468" max="9471" width="5.54296875" style="217" customWidth="1"/>
    <col min="9472" max="9472" width="7" style="217" customWidth="1"/>
    <col min="9473" max="9480" width="5.54296875" style="217" customWidth="1"/>
    <col min="9481" max="9481" width="55" style="217" customWidth="1"/>
    <col min="9482" max="9482" width="8.7265625" style="217" customWidth="1"/>
    <col min="9483" max="9483" width="8.1796875" style="217" customWidth="1"/>
    <col min="9484" max="9484" width="7.1796875" style="217" customWidth="1"/>
    <col min="9485" max="9485" width="16.54296875" style="217" bestFit="1" customWidth="1"/>
    <col min="9486" max="9486" width="18.54296875" style="217" customWidth="1"/>
    <col min="9487" max="9713" width="8.7265625" style="217" customWidth="1"/>
    <col min="9714" max="9714" width="39.7265625" style="217" customWidth="1"/>
    <col min="9715" max="9717" width="6.1796875" style="217" customWidth="1"/>
    <col min="9718" max="9718" width="8.453125" style="217" bestFit="1" customWidth="1"/>
    <col min="9719" max="9719" width="12.54296875" style="217" bestFit="1" customWidth="1"/>
    <col min="9720" max="9720" width="27.26953125" style="217" bestFit="1" customWidth="1"/>
    <col min="9721" max="9721" width="9.1796875" style="217" customWidth="1"/>
    <col min="9722" max="9722" width="14.7265625" style="217"/>
    <col min="9723" max="9723" width="32.81640625" style="217" customWidth="1"/>
    <col min="9724" max="9727" width="5.54296875" style="217" customWidth="1"/>
    <col min="9728" max="9728" width="7" style="217" customWidth="1"/>
    <col min="9729" max="9736" width="5.54296875" style="217" customWidth="1"/>
    <col min="9737" max="9737" width="55" style="217" customWidth="1"/>
    <col min="9738" max="9738" width="8.7265625" style="217" customWidth="1"/>
    <col min="9739" max="9739" width="8.1796875" style="217" customWidth="1"/>
    <col min="9740" max="9740" width="7.1796875" style="217" customWidth="1"/>
    <col min="9741" max="9741" width="16.54296875" style="217" bestFit="1" customWidth="1"/>
    <col min="9742" max="9742" width="18.54296875" style="217" customWidth="1"/>
    <col min="9743" max="9969" width="8.7265625" style="217" customWidth="1"/>
    <col min="9970" max="9970" width="39.7265625" style="217" customWidth="1"/>
    <col min="9971" max="9973" width="6.1796875" style="217" customWidth="1"/>
    <col min="9974" max="9974" width="8.453125" style="217" bestFit="1" customWidth="1"/>
    <col min="9975" max="9975" width="12.54296875" style="217" bestFit="1" customWidth="1"/>
    <col min="9976" max="9976" width="27.26953125" style="217" bestFit="1" customWidth="1"/>
    <col min="9977" max="9977" width="9.1796875" style="217" customWidth="1"/>
    <col min="9978" max="9978" width="14.7265625" style="217"/>
    <col min="9979" max="9979" width="32.81640625" style="217" customWidth="1"/>
    <col min="9980" max="9983" width="5.54296875" style="217" customWidth="1"/>
    <col min="9984" max="9984" width="7" style="217" customWidth="1"/>
    <col min="9985" max="9992" width="5.54296875" style="217" customWidth="1"/>
    <col min="9993" max="9993" width="55" style="217" customWidth="1"/>
    <col min="9994" max="9994" width="8.7265625" style="217" customWidth="1"/>
    <col min="9995" max="9995" width="8.1796875" style="217" customWidth="1"/>
    <col min="9996" max="9996" width="7.1796875" style="217" customWidth="1"/>
    <col min="9997" max="9997" width="16.54296875" style="217" bestFit="1" customWidth="1"/>
    <col min="9998" max="9998" width="18.54296875" style="217" customWidth="1"/>
    <col min="9999" max="10225" width="8.7265625" style="217" customWidth="1"/>
    <col min="10226" max="10226" width="39.7265625" style="217" customWidth="1"/>
    <col min="10227" max="10229" width="6.1796875" style="217" customWidth="1"/>
    <col min="10230" max="10230" width="8.453125" style="217" bestFit="1" customWidth="1"/>
    <col min="10231" max="10231" width="12.54296875" style="217" bestFit="1" customWidth="1"/>
    <col min="10232" max="10232" width="27.26953125" style="217" bestFit="1" customWidth="1"/>
    <col min="10233" max="10233" width="9.1796875" style="217" customWidth="1"/>
    <col min="10234" max="10234" width="14.7265625" style="217"/>
    <col min="10235" max="10235" width="32.81640625" style="217" customWidth="1"/>
    <col min="10236" max="10239" width="5.54296875" style="217" customWidth="1"/>
    <col min="10240" max="10240" width="7" style="217" customWidth="1"/>
    <col min="10241" max="10248" width="5.54296875" style="217" customWidth="1"/>
    <col min="10249" max="10249" width="55" style="217" customWidth="1"/>
    <col min="10250" max="10250" width="8.7265625" style="217" customWidth="1"/>
    <col min="10251" max="10251" width="8.1796875" style="217" customWidth="1"/>
    <col min="10252" max="10252" width="7.1796875" style="217" customWidth="1"/>
    <col min="10253" max="10253" width="16.54296875" style="217" bestFit="1" customWidth="1"/>
    <col min="10254" max="10254" width="18.54296875" style="217" customWidth="1"/>
    <col min="10255" max="10481" width="8.7265625" style="217" customWidth="1"/>
    <col min="10482" max="10482" width="39.7265625" style="217" customWidth="1"/>
    <col min="10483" max="10485" width="6.1796875" style="217" customWidth="1"/>
    <col min="10486" max="10486" width="8.453125" style="217" bestFit="1" customWidth="1"/>
    <col min="10487" max="10487" width="12.54296875" style="217" bestFit="1" customWidth="1"/>
    <col min="10488" max="10488" width="27.26953125" style="217" bestFit="1" customWidth="1"/>
    <col min="10489" max="10489" width="9.1796875" style="217" customWidth="1"/>
    <col min="10490" max="10490" width="14.7265625" style="217"/>
    <col min="10491" max="10491" width="32.81640625" style="217" customWidth="1"/>
    <col min="10492" max="10495" width="5.54296875" style="217" customWidth="1"/>
    <col min="10496" max="10496" width="7" style="217" customWidth="1"/>
    <col min="10497" max="10504" width="5.54296875" style="217" customWidth="1"/>
    <col min="10505" max="10505" width="55" style="217" customWidth="1"/>
    <col min="10506" max="10506" width="8.7265625" style="217" customWidth="1"/>
    <col min="10507" max="10507" width="8.1796875" style="217" customWidth="1"/>
    <col min="10508" max="10508" width="7.1796875" style="217" customWidth="1"/>
    <col min="10509" max="10509" width="16.54296875" style="217" bestFit="1" customWidth="1"/>
    <col min="10510" max="10510" width="18.54296875" style="217" customWidth="1"/>
    <col min="10511" max="10737" width="8.7265625" style="217" customWidth="1"/>
    <col min="10738" max="10738" width="39.7265625" style="217" customWidth="1"/>
    <col min="10739" max="10741" width="6.1796875" style="217" customWidth="1"/>
    <col min="10742" max="10742" width="8.453125" style="217" bestFit="1" customWidth="1"/>
    <col min="10743" max="10743" width="12.54296875" style="217" bestFit="1" customWidth="1"/>
    <col min="10744" max="10744" width="27.26953125" style="217" bestFit="1" customWidth="1"/>
    <col min="10745" max="10745" width="9.1796875" style="217" customWidth="1"/>
    <col min="10746" max="10746" width="14.7265625" style="217"/>
    <col min="10747" max="10747" width="32.81640625" style="217" customWidth="1"/>
    <col min="10748" max="10751" width="5.54296875" style="217" customWidth="1"/>
    <col min="10752" max="10752" width="7" style="217" customWidth="1"/>
    <col min="10753" max="10760" width="5.54296875" style="217" customWidth="1"/>
    <col min="10761" max="10761" width="55" style="217" customWidth="1"/>
    <col min="10762" max="10762" width="8.7265625" style="217" customWidth="1"/>
    <col min="10763" max="10763" width="8.1796875" style="217" customWidth="1"/>
    <col min="10764" max="10764" width="7.1796875" style="217" customWidth="1"/>
    <col min="10765" max="10765" width="16.54296875" style="217" bestFit="1" customWidth="1"/>
    <col min="10766" max="10766" width="18.54296875" style="217" customWidth="1"/>
    <col min="10767" max="10993" width="8.7265625" style="217" customWidth="1"/>
    <col min="10994" max="10994" width="39.7265625" style="217" customWidth="1"/>
    <col min="10995" max="10997" width="6.1796875" style="217" customWidth="1"/>
    <col min="10998" max="10998" width="8.453125" style="217" bestFit="1" customWidth="1"/>
    <col min="10999" max="10999" width="12.54296875" style="217" bestFit="1" customWidth="1"/>
    <col min="11000" max="11000" width="27.26953125" style="217" bestFit="1" customWidth="1"/>
    <col min="11001" max="11001" width="9.1796875" style="217" customWidth="1"/>
    <col min="11002" max="11002" width="14.7265625" style="217"/>
    <col min="11003" max="11003" width="32.81640625" style="217" customWidth="1"/>
    <col min="11004" max="11007" width="5.54296875" style="217" customWidth="1"/>
    <col min="11008" max="11008" width="7" style="217" customWidth="1"/>
    <col min="11009" max="11016" width="5.54296875" style="217" customWidth="1"/>
    <col min="11017" max="11017" width="55" style="217" customWidth="1"/>
    <col min="11018" max="11018" width="8.7265625" style="217" customWidth="1"/>
    <col min="11019" max="11019" width="8.1796875" style="217" customWidth="1"/>
    <col min="11020" max="11020" width="7.1796875" style="217" customWidth="1"/>
    <col min="11021" max="11021" width="16.54296875" style="217" bestFit="1" customWidth="1"/>
    <col min="11022" max="11022" width="18.54296875" style="217" customWidth="1"/>
    <col min="11023" max="11249" width="8.7265625" style="217" customWidth="1"/>
    <col min="11250" max="11250" width="39.7265625" style="217" customWidth="1"/>
    <col min="11251" max="11253" width="6.1796875" style="217" customWidth="1"/>
    <col min="11254" max="11254" width="8.453125" style="217" bestFit="1" customWidth="1"/>
    <col min="11255" max="11255" width="12.54296875" style="217" bestFit="1" customWidth="1"/>
    <col min="11256" max="11256" width="27.26953125" style="217" bestFit="1" customWidth="1"/>
    <col min="11257" max="11257" width="9.1796875" style="217" customWidth="1"/>
    <col min="11258" max="11258" width="14.7265625" style="217"/>
    <col min="11259" max="11259" width="32.81640625" style="217" customWidth="1"/>
    <col min="11260" max="11263" width="5.54296875" style="217" customWidth="1"/>
    <col min="11264" max="11264" width="7" style="217" customWidth="1"/>
    <col min="11265" max="11272" width="5.54296875" style="217" customWidth="1"/>
    <col min="11273" max="11273" width="55" style="217" customWidth="1"/>
    <col min="11274" max="11274" width="8.7265625" style="217" customWidth="1"/>
    <col min="11275" max="11275" width="8.1796875" style="217" customWidth="1"/>
    <col min="11276" max="11276" width="7.1796875" style="217" customWidth="1"/>
    <col min="11277" max="11277" width="16.54296875" style="217" bestFit="1" customWidth="1"/>
    <col min="11278" max="11278" width="18.54296875" style="217" customWidth="1"/>
    <col min="11279" max="11505" width="8.7265625" style="217" customWidth="1"/>
    <col min="11506" max="11506" width="39.7265625" style="217" customWidth="1"/>
    <col min="11507" max="11509" width="6.1796875" style="217" customWidth="1"/>
    <col min="11510" max="11510" width="8.453125" style="217" bestFit="1" customWidth="1"/>
    <col min="11511" max="11511" width="12.54296875" style="217" bestFit="1" customWidth="1"/>
    <col min="11512" max="11512" width="27.26953125" style="217" bestFit="1" customWidth="1"/>
    <col min="11513" max="11513" width="9.1796875" style="217" customWidth="1"/>
    <col min="11514" max="11514" width="14.7265625" style="217"/>
    <col min="11515" max="11515" width="32.81640625" style="217" customWidth="1"/>
    <col min="11516" max="11519" width="5.54296875" style="217" customWidth="1"/>
    <col min="11520" max="11520" width="7" style="217" customWidth="1"/>
    <col min="11521" max="11528" width="5.54296875" style="217" customWidth="1"/>
    <col min="11529" max="11529" width="55" style="217" customWidth="1"/>
    <col min="11530" max="11530" width="8.7265625" style="217" customWidth="1"/>
    <col min="11531" max="11531" width="8.1796875" style="217" customWidth="1"/>
    <col min="11532" max="11532" width="7.1796875" style="217" customWidth="1"/>
    <col min="11533" max="11533" width="16.54296875" style="217" bestFit="1" customWidth="1"/>
    <col min="11534" max="11534" width="18.54296875" style="217" customWidth="1"/>
    <col min="11535" max="11761" width="8.7265625" style="217" customWidth="1"/>
    <col min="11762" max="11762" width="39.7265625" style="217" customWidth="1"/>
    <col min="11763" max="11765" width="6.1796875" style="217" customWidth="1"/>
    <col min="11766" max="11766" width="8.453125" style="217" bestFit="1" customWidth="1"/>
    <col min="11767" max="11767" width="12.54296875" style="217" bestFit="1" customWidth="1"/>
    <col min="11768" max="11768" width="27.26953125" style="217" bestFit="1" customWidth="1"/>
    <col min="11769" max="11769" width="9.1796875" style="217" customWidth="1"/>
    <col min="11770" max="11770" width="14.7265625" style="217"/>
    <col min="11771" max="11771" width="32.81640625" style="217" customWidth="1"/>
    <col min="11772" max="11775" width="5.54296875" style="217" customWidth="1"/>
    <col min="11776" max="11776" width="7" style="217" customWidth="1"/>
    <col min="11777" max="11784" width="5.54296875" style="217" customWidth="1"/>
    <col min="11785" max="11785" width="55" style="217" customWidth="1"/>
    <col min="11786" max="11786" width="8.7265625" style="217" customWidth="1"/>
    <col min="11787" max="11787" width="8.1796875" style="217" customWidth="1"/>
    <col min="11788" max="11788" width="7.1796875" style="217" customWidth="1"/>
    <col min="11789" max="11789" width="16.54296875" style="217" bestFit="1" customWidth="1"/>
    <col min="11790" max="11790" width="18.54296875" style="217" customWidth="1"/>
    <col min="11791" max="12017" width="8.7265625" style="217" customWidth="1"/>
    <col min="12018" max="12018" width="39.7265625" style="217" customWidth="1"/>
    <col min="12019" max="12021" width="6.1796875" style="217" customWidth="1"/>
    <col min="12022" max="12022" width="8.453125" style="217" bestFit="1" customWidth="1"/>
    <col min="12023" max="12023" width="12.54296875" style="217" bestFit="1" customWidth="1"/>
    <col min="12024" max="12024" width="27.26953125" style="217" bestFit="1" customWidth="1"/>
    <col min="12025" max="12025" width="9.1796875" style="217" customWidth="1"/>
    <col min="12026" max="12026" width="14.7265625" style="217"/>
    <col min="12027" max="12027" width="32.81640625" style="217" customWidth="1"/>
    <col min="12028" max="12031" width="5.54296875" style="217" customWidth="1"/>
    <col min="12032" max="12032" width="7" style="217" customWidth="1"/>
    <col min="12033" max="12040" width="5.54296875" style="217" customWidth="1"/>
    <col min="12041" max="12041" width="55" style="217" customWidth="1"/>
    <col min="12042" max="12042" width="8.7265625" style="217" customWidth="1"/>
    <col min="12043" max="12043" width="8.1796875" style="217" customWidth="1"/>
    <col min="12044" max="12044" width="7.1796875" style="217" customWidth="1"/>
    <col min="12045" max="12045" width="16.54296875" style="217" bestFit="1" customWidth="1"/>
    <col min="12046" max="12046" width="18.54296875" style="217" customWidth="1"/>
    <col min="12047" max="12273" width="8.7265625" style="217" customWidth="1"/>
    <col min="12274" max="12274" width="39.7265625" style="217" customWidth="1"/>
    <col min="12275" max="12277" width="6.1796875" style="217" customWidth="1"/>
    <col min="12278" max="12278" width="8.453125" style="217" bestFit="1" customWidth="1"/>
    <col min="12279" max="12279" width="12.54296875" style="217" bestFit="1" customWidth="1"/>
    <col min="12280" max="12280" width="27.26953125" style="217" bestFit="1" customWidth="1"/>
    <col min="12281" max="12281" width="9.1796875" style="217" customWidth="1"/>
    <col min="12282" max="12282" width="14.7265625" style="217"/>
    <col min="12283" max="12283" width="32.81640625" style="217" customWidth="1"/>
    <col min="12284" max="12287" width="5.54296875" style="217" customWidth="1"/>
    <col min="12288" max="12288" width="7" style="217" customWidth="1"/>
    <col min="12289" max="12296" width="5.54296875" style="217" customWidth="1"/>
    <col min="12297" max="12297" width="55" style="217" customWidth="1"/>
    <col min="12298" max="12298" width="8.7265625" style="217" customWidth="1"/>
    <col min="12299" max="12299" width="8.1796875" style="217" customWidth="1"/>
    <col min="12300" max="12300" width="7.1796875" style="217" customWidth="1"/>
    <col min="12301" max="12301" width="16.54296875" style="217" bestFit="1" customWidth="1"/>
    <col min="12302" max="12302" width="18.54296875" style="217" customWidth="1"/>
    <col min="12303" max="12529" width="8.7265625" style="217" customWidth="1"/>
    <col min="12530" max="12530" width="39.7265625" style="217" customWidth="1"/>
    <col min="12531" max="12533" width="6.1796875" style="217" customWidth="1"/>
    <col min="12534" max="12534" width="8.453125" style="217" bestFit="1" customWidth="1"/>
    <col min="12535" max="12535" width="12.54296875" style="217" bestFit="1" customWidth="1"/>
    <col min="12536" max="12536" width="27.26953125" style="217" bestFit="1" customWidth="1"/>
    <col min="12537" max="12537" width="9.1796875" style="217" customWidth="1"/>
    <col min="12538" max="12538" width="14.7265625" style="217"/>
    <col min="12539" max="12539" width="32.81640625" style="217" customWidth="1"/>
    <col min="12540" max="12543" width="5.54296875" style="217" customWidth="1"/>
    <col min="12544" max="12544" width="7" style="217" customWidth="1"/>
    <col min="12545" max="12552" width="5.54296875" style="217" customWidth="1"/>
    <col min="12553" max="12553" width="55" style="217" customWidth="1"/>
    <col min="12554" max="12554" width="8.7265625" style="217" customWidth="1"/>
    <col min="12555" max="12555" width="8.1796875" style="217" customWidth="1"/>
    <col min="12556" max="12556" width="7.1796875" style="217" customWidth="1"/>
    <col min="12557" max="12557" width="16.54296875" style="217" bestFit="1" customWidth="1"/>
    <col min="12558" max="12558" width="18.54296875" style="217" customWidth="1"/>
    <col min="12559" max="12785" width="8.7265625" style="217" customWidth="1"/>
    <col min="12786" max="12786" width="39.7265625" style="217" customWidth="1"/>
    <col min="12787" max="12789" width="6.1796875" style="217" customWidth="1"/>
    <col min="12790" max="12790" width="8.453125" style="217" bestFit="1" customWidth="1"/>
    <col min="12791" max="12791" width="12.54296875" style="217" bestFit="1" customWidth="1"/>
    <col min="12792" max="12792" width="27.26953125" style="217" bestFit="1" customWidth="1"/>
    <col min="12793" max="12793" width="9.1796875" style="217" customWidth="1"/>
    <col min="12794" max="12794" width="14.7265625" style="217"/>
    <col min="12795" max="12795" width="32.81640625" style="217" customWidth="1"/>
    <col min="12796" max="12799" width="5.54296875" style="217" customWidth="1"/>
    <col min="12800" max="12800" width="7" style="217" customWidth="1"/>
    <col min="12801" max="12808" width="5.54296875" style="217" customWidth="1"/>
    <col min="12809" max="12809" width="55" style="217" customWidth="1"/>
    <col min="12810" max="12810" width="8.7265625" style="217" customWidth="1"/>
    <col min="12811" max="12811" width="8.1796875" style="217" customWidth="1"/>
    <col min="12812" max="12812" width="7.1796875" style="217" customWidth="1"/>
    <col min="12813" max="12813" width="16.54296875" style="217" bestFit="1" customWidth="1"/>
    <col min="12814" max="12814" width="18.54296875" style="217" customWidth="1"/>
    <col min="12815" max="13041" width="8.7265625" style="217" customWidth="1"/>
    <col min="13042" max="13042" width="39.7265625" style="217" customWidth="1"/>
    <col min="13043" max="13045" width="6.1796875" style="217" customWidth="1"/>
    <col min="13046" max="13046" width="8.453125" style="217" bestFit="1" customWidth="1"/>
    <col min="13047" max="13047" width="12.54296875" style="217" bestFit="1" customWidth="1"/>
    <col min="13048" max="13048" width="27.26953125" style="217" bestFit="1" customWidth="1"/>
    <col min="13049" max="13049" width="9.1796875" style="217" customWidth="1"/>
    <col min="13050" max="13050" width="14.7265625" style="217"/>
    <col min="13051" max="13051" width="32.81640625" style="217" customWidth="1"/>
    <col min="13052" max="13055" width="5.54296875" style="217" customWidth="1"/>
    <col min="13056" max="13056" width="7" style="217" customWidth="1"/>
    <col min="13057" max="13064" width="5.54296875" style="217" customWidth="1"/>
    <col min="13065" max="13065" width="55" style="217" customWidth="1"/>
    <col min="13066" max="13066" width="8.7265625" style="217" customWidth="1"/>
    <col min="13067" max="13067" width="8.1796875" style="217" customWidth="1"/>
    <col min="13068" max="13068" width="7.1796875" style="217" customWidth="1"/>
    <col min="13069" max="13069" width="16.54296875" style="217" bestFit="1" customWidth="1"/>
    <col min="13070" max="13070" width="18.54296875" style="217" customWidth="1"/>
    <col min="13071" max="13297" width="8.7265625" style="217" customWidth="1"/>
    <col min="13298" max="13298" width="39.7265625" style="217" customWidth="1"/>
    <col min="13299" max="13301" width="6.1796875" style="217" customWidth="1"/>
    <col min="13302" max="13302" width="8.453125" style="217" bestFit="1" customWidth="1"/>
    <col min="13303" max="13303" width="12.54296875" style="217" bestFit="1" customWidth="1"/>
    <col min="13304" max="13304" width="27.26953125" style="217" bestFit="1" customWidth="1"/>
    <col min="13305" max="13305" width="9.1796875" style="217" customWidth="1"/>
    <col min="13306" max="13306" width="14.7265625" style="217"/>
    <col min="13307" max="13307" width="32.81640625" style="217" customWidth="1"/>
    <col min="13308" max="13311" width="5.54296875" style="217" customWidth="1"/>
    <col min="13312" max="13312" width="7" style="217" customWidth="1"/>
    <col min="13313" max="13320" width="5.54296875" style="217" customWidth="1"/>
    <col min="13321" max="13321" width="55" style="217" customWidth="1"/>
    <col min="13322" max="13322" width="8.7265625" style="217" customWidth="1"/>
    <col min="13323" max="13323" width="8.1796875" style="217" customWidth="1"/>
    <col min="13324" max="13324" width="7.1796875" style="217" customWidth="1"/>
    <col min="13325" max="13325" width="16.54296875" style="217" bestFit="1" customWidth="1"/>
    <col min="13326" max="13326" width="18.54296875" style="217" customWidth="1"/>
    <col min="13327" max="13553" width="8.7265625" style="217" customWidth="1"/>
    <col min="13554" max="13554" width="39.7265625" style="217" customWidth="1"/>
    <col min="13555" max="13557" width="6.1796875" style="217" customWidth="1"/>
    <col min="13558" max="13558" width="8.453125" style="217" bestFit="1" customWidth="1"/>
    <col min="13559" max="13559" width="12.54296875" style="217" bestFit="1" customWidth="1"/>
    <col min="13560" max="13560" width="27.26953125" style="217" bestFit="1" customWidth="1"/>
    <col min="13561" max="13561" width="9.1796875" style="217" customWidth="1"/>
    <col min="13562" max="13562" width="14.7265625" style="217"/>
    <col min="13563" max="13563" width="32.81640625" style="217" customWidth="1"/>
    <col min="13564" max="13567" width="5.54296875" style="217" customWidth="1"/>
    <col min="13568" max="13568" width="7" style="217" customWidth="1"/>
    <col min="13569" max="13576" width="5.54296875" style="217" customWidth="1"/>
    <col min="13577" max="13577" width="55" style="217" customWidth="1"/>
    <col min="13578" max="13578" width="8.7265625" style="217" customWidth="1"/>
    <col min="13579" max="13579" width="8.1796875" style="217" customWidth="1"/>
    <col min="13580" max="13580" width="7.1796875" style="217" customWidth="1"/>
    <col min="13581" max="13581" width="16.54296875" style="217" bestFit="1" customWidth="1"/>
    <col min="13582" max="13582" width="18.54296875" style="217" customWidth="1"/>
    <col min="13583" max="13809" width="8.7265625" style="217" customWidth="1"/>
    <col min="13810" max="13810" width="39.7265625" style="217" customWidth="1"/>
    <col min="13811" max="13813" width="6.1796875" style="217" customWidth="1"/>
    <col min="13814" max="13814" width="8.453125" style="217" bestFit="1" customWidth="1"/>
    <col min="13815" max="13815" width="12.54296875" style="217" bestFit="1" customWidth="1"/>
    <col min="13816" max="13816" width="27.26953125" style="217" bestFit="1" customWidth="1"/>
    <col min="13817" max="13817" width="9.1796875" style="217" customWidth="1"/>
    <col min="13818" max="13818" width="14.7265625" style="217"/>
    <col min="13819" max="13819" width="32.81640625" style="217" customWidth="1"/>
    <col min="13820" max="13823" width="5.54296875" style="217" customWidth="1"/>
    <col min="13824" max="13824" width="7" style="217" customWidth="1"/>
    <col min="13825" max="13832" width="5.54296875" style="217" customWidth="1"/>
    <col min="13833" max="13833" width="55" style="217" customWidth="1"/>
    <col min="13834" max="13834" width="8.7265625" style="217" customWidth="1"/>
    <col min="13835" max="13835" width="8.1796875" style="217" customWidth="1"/>
    <col min="13836" max="13836" width="7.1796875" style="217" customWidth="1"/>
    <col min="13837" max="13837" width="16.54296875" style="217" bestFit="1" customWidth="1"/>
    <col min="13838" max="13838" width="18.54296875" style="217" customWidth="1"/>
    <col min="13839" max="14065" width="8.7265625" style="217" customWidth="1"/>
    <col min="14066" max="14066" width="39.7265625" style="217" customWidth="1"/>
    <col min="14067" max="14069" width="6.1796875" style="217" customWidth="1"/>
    <col min="14070" max="14070" width="8.453125" style="217" bestFit="1" customWidth="1"/>
    <col min="14071" max="14071" width="12.54296875" style="217" bestFit="1" customWidth="1"/>
    <col min="14072" max="14072" width="27.26953125" style="217" bestFit="1" customWidth="1"/>
    <col min="14073" max="14073" width="9.1796875" style="217" customWidth="1"/>
    <col min="14074" max="14074" width="14.7265625" style="217"/>
    <col min="14075" max="14075" width="32.81640625" style="217" customWidth="1"/>
    <col min="14076" max="14079" width="5.54296875" style="217" customWidth="1"/>
    <col min="14080" max="14080" width="7" style="217" customWidth="1"/>
    <col min="14081" max="14088" width="5.54296875" style="217" customWidth="1"/>
    <col min="14089" max="14089" width="55" style="217" customWidth="1"/>
    <col min="14090" max="14090" width="8.7265625" style="217" customWidth="1"/>
    <col min="14091" max="14091" width="8.1796875" style="217" customWidth="1"/>
    <col min="14092" max="14092" width="7.1796875" style="217" customWidth="1"/>
    <col min="14093" max="14093" width="16.54296875" style="217" bestFit="1" customWidth="1"/>
    <col min="14094" max="14094" width="18.54296875" style="217" customWidth="1"/>
    <col min="14095" max="14321" width="8.7265625" style="217" customWidth="1"/>
    <col min="14322" max="14322" width="39.7265625" style="217" customWidth="1"/>
    <col min="14323" max="14325" width="6.1796875" style="217" customWidth="1"/>
    <col min="14326" max="14326" width="8.453125" style="217" bestFit="1" customWidth="1"/>
    <col min="14327" max="14327" width="12.54296875" style="217" bestFit="1" customWidth="1"/>
    <col min="14328" max="14328" width="27.26953125" style="217" bestFit="1" customWidth="1"/>
    <col min="14329" max="14329" width="9.1796875" style="217" customWidth="1"/>
    <col min="14330" max="14330" width="14.7265625" style="217"/>
    <col min="14331" max="14331" width="32.81640625" style="217" customWidth="1"/>
    <col min="14332" max="14335" width="5.54296875" style="217" customWidth="1"/>
    <col min="14336" max="14336" width="7" style="217" customWidth="1"/>
    <col min="14337" max="14344" width="5.54296875" style="217" customWidth="1"/>
    <col min="14345" max="14345" width="55" style="217" customWidth="1"/>
    <col min="14346" max="14346" width="8.7265625" style="217" customWidth="1"/>
    <col min="14347" max="14347" width="8.1796875" style="217" customWidth="1"/>
    <col min="14348" max="14348" width="7.1796875" style="217" customWidth="1"/>
    <col min="14349" max="14349" width="16.54296875" style="217" bestFit="1" customWidth="1"/>
    <col min="14350" max="14350" width="18.54296875" style="217" customWidth="1"/>
    <col min="14351" max="14577" width="8.7265625" style="217" customWidth="1"/>
    <col min="14578" max="14578" width="39.7265625" style="217" customWidth="1"/>
    <col min="14579" max="14581" width="6.1796875" style="217" customWidth="1"/>
    <col min="14582" max="14582" width="8.453125" style="217" bestFit="1" customWidth="1"/>
    <col min="14583" max="14583" width="12.54296875" style="217" bestFit="1" customWidth="1"/>
    <col min="14584" max="14584" width="27.26953125" style="217" bestFit="1" customWidth="1"/>
    <col min="14585" max="14585" width="9.1796875" style="217" customWidth="1"/>
    <col min="14586" max="14586" width="14.7265625" style="217"/>
    <col min="14587" max="14587" width="32.81640625" style="217" customWidth="1"/>
    <col min="14588" max="14591" width="5.54296875" style="217" customWidth="1"/>
    <col min="14592" max="14592" width="7" style="217" customWidth="1"/>
    <col min="14593" max="14600" width="5.54296875" style="217" customWidth="1"/>
    <col min="14601" max="14601" width="55" style="217" customWidth="1"/>
    <col min="14602" max="14602" width="8.7265625" style="217" customWidth="1"/>
    <col min="14603" max="14603" width="8.1796875" style="217" customWidth="1"/>
    <col min="14604" max="14604" width="7.1796875" style="217" customWidth="1"/>
    <col min="14605" max="14605" width="16.54296875" style="217" bestFit="1" customWidth="1"/>
    <col min="14606" max="14606" width="18.54296875" style="217" customWidth="1"/>
    <col min="14607" max="14833" width="8.7265625" style="217" customWidth="1"/>
    <col min="14834" max="14834" width="39.7265625" style="217" customWidth="1"/>
    <col min="14835" max="14837" width="6.1796875" style="217" customWidth="1"/>
    <col min="14838" max="14838" width="8.453125" style="217" bestFit="1" customWidth="1"/>
    <col min="14839" max="14839" width="12.54296875" style="217" bestFit="1" customWidth="1"/>
    <col min="14840" max="14840" width="27.26953125" style="217" bestFit="1" customWidth="1"/>
    <col min="14841" max="14841" width="9.1796875" style="217" customWidth="1"/>
    <col min="14842" max="14842" width="14.7265625" style="217"/>
    <col min="14843" max="14843" width="32.81640625" style="217" customWidth="1"/>
    <col min="14844" max="14847" width="5.54296875" style="217" customWidth="1"/>
    <col min="14848" max="14848" width="7" style="217" customWidth="1"/>
    <col min="14849" max="14856" width="5.54296875" style="217" customWidth="1"/>
    <col min="14857" max="14857" width="55" style="217" customWidth="1"/>
    <col min="14858" max="14858" width="8.7265625" style="217" customWidth="1"/>
    <col min="14859" max="14859" width="8.1796875" style="217" customWidth="1"/>
    <col min="14860" max="14860" width="7.1796875" style="217" customWidth="1"/>
    <col min="14861" max="14861" width="16.54296875" style="217" bestFit="1" customWidth="1"/>
    <col min="14862" max="14862" width="18.54296875" style="217" customWidth="1"/>
    <col min="14863" max="15089" width="8.7265625" style="217" customWidth="1"/>
    <col min="15090" max="15090" width="39.7265625" style="217" customWidth="1"/>
    <col min="15091" max="15093" width="6.1796875" style="217" customWidth="1"/>
    <col min="15094" max="15094" width="8.453125" style="217" bestFit="1" customWidth="1"/>
    <col min="15095" max="15095" width="12.54296875" style="217" bestFit="1" customWidth="1"/>
    <col min="15096" max="15096" width="27.26953125" style="217" bestFit="1" customWidth="1"/>
    <col min="15097" max="15097" width="9.1796875" style="217" customWidth="1"/>
    <col min="15098" max="15098" width="14.7265625" style="217"/>
    <col min="15099" max="15099" width="32.81640625" style="217" customWidth="1"/>
    <col min="15100" max="15103" width="5.54296875" style="217" customWidth="1"/>
    <col min="15104" max="15104" width="7" style="217" customWidth="1"/>
    <col min="15105" max="15112" width="5.54296875" style="217" customWidth="1"/>
    <col min="15113" max="15113" width="55" style="217" customWidth="1"/>
    <col min="15114" max="15114" width="8.7265625" style="217" customWidth="1"/>
    <col min="15115" max="15115" width="8.1796875" style="217" customWidth="1"/>
    <col min="15116" max="15116" width="7.1796875" style="217" customWidth="1"/>
    <col min="15117" max="15117" width="16.54296875" style="217" bestFit="1" customWidth="1"/>
    <col min="15118" max="15118" width="18.54296875" style="217" customWidth="1"/>
    <col min="15119" max="15345" width="8.7265625" style="217" customWidth="1"/>
    <col min="15346" max="15346" width="39.7265625" style="217" customWidth="1"/>
    <col min="15347" max="15349" width="6.1796875" style="217" customWidth="1"/>
    <col min="15350" max="15350" width="8.453125" style="217" bestFit="1" customWidth="1"/>
    <col min="15351" max="15351" width="12.54296875" style="217" bestFit="1" customWidth="1"/>
    <col min="15352" max="15352" width="27.26953125" style="217" bestFit="1" customWidth="1"/>
    <col min="15353" max="15353" width="9.1796875" style="217" customWidth="1"/>
    <col min="15354" max="15354" width="14.7265625" style="217"/>
    <col min="15355" max="15355" width="32.81640625" style="217" customWidth="1"/>
    <col min="15356" max="15359" width="5.54296875" style="217" customWidth="1"/>
    <col min="15360" max="15360" width="7" style="217" customWidth="1"/>
    <col min="15361" max="15368" width="5.54296875" style="217" customWidth="1"/>
    <col min="15369" max="15369" width="55" style="217" customWidth="1"/>
    <col min="15370" max="15370" width="8.7265625" style="217" customWidth="1"/>
    <col min="15371" max="15371" width="8.1796875" style="217" customWidth="1"/>
    <col min="15372" max="15372" width="7.1796875" style="217" customWidth="1"/>
    <col min="15373" max="15373" width="16.54296875" style="217" bestFit="1" customWidth="1"/>
    <col min="15374" max="15374" width="18.54296875" style="217" customWidth="1"/>
    <col min="15375" max="15601" width="8.7265625" style="217" customWidth="1"/>
    <col min="15602" max="15602" width="39.7265625" style="217" customWidth="1"/>
    <col min="15603" max="15605" width="6.1796875" style="217" customWidth="1"/>
    <col min="15606" max="15606" width="8.453125" style="217" bestFit="1" customWidth="1"/>
    <col min="15607" max="15607" width="12.54296875" style="217" bestFit="1" customWidth="1"/>
    <col min="15608" max="15608" width="27.26953125" style="217" bestFit="1" customWidth="1"/>
    <col min="15609" max="15609" width="9.1796875" style="217" customWidth="1"/>
    <col min="15610" max="15610" width="14.7265625" style="217"/>
    <col min="15611" max="15611" width="32.81640625" style="217" customWidth="1"/>
    <col min="15612" max="15615" width="5.54296875" style="217" customWidth="1"/>
    <col min="15616" max="15616" width="7" style="217" customWidth="1"/>
    <col min="15617" max="15624" width="5.54296875" style="217" customWidth="1"/>
    <col min="15625" max="15625" width="55" style="217" customWidth="1"/>
    <col min="15626" max="15626" width="8.7265625" style="217" customWidth="1"/>
    <col min="15627" max="15627" width="8.1796875" style="217" customWidth="1"/>
    <col min="15628" max="15628" width="7.1796875" style="217" customWidth="1"/>
    <col min="15629" max="15629" width="16.54296875" style="217" bestFit="1" customWidth="1"/>
    <col min="15630" max="15630" width="18.54296875" style="217" customWidth="1"/>
    <col min="15631" max="15857" width="8.7265625" style="217" customWidth="1"/>
    <col min="15858" max="15858" width="39.7265625" style="217" customWidth="1"/>
    <col min="15859" max="15861" width="6.1796875" style="217" customWidth="1"/>
    <col min="15862" max="15862" width="8.453125" style="217" bestFit="1" customWidth="1"/>
    <col min="15863" max="15863" width="12.54296875" style="217" bestFit="1" customWidth="1"/>
    <col min="15864" max="15864" width="27.26953125" style="217" bestFit="1" customWidth="1"/>
    <col min="15865" max="15865" width="9.1796875" style="217" customWidth="1"/>
    <col min="15866" max="15866" width="14.7265625" style="217"/>
    <col min="15867" max="15867" width="32.81640625" style="217" customWidth="1"/>
    <col min="15868" max="15871" width="5.54296875" style="217" customWidth="1"/>
    <col min="15872" max="15872" width="7" style="217" customWidth="1"/>
    <col min="15873" max="15880" width="5.54296875" style="217" customWidth="1"/>
    <col min="15881" max="15881" width="55" style="217" customWidth="1"/>
    <col min="15882" max="15882" width="8.7265625" style="217" customWidth="1"/>
    <col min="15883" max="15883" width="8.1796875" style="217" customWidth="1"/>
    <col min="15884" max="15884" width="7.1796875" style="217" customWidth="1"/>
    <col min="15885" max="15885" width="16.54296875" style="217" bestFit="1" customWidth="1"/>
    <col min="15886" max="15886" width="18.54296875" style="217" customWidth="1"/>
    <col min="15887" max="16113" width="8.7265625" style="217" customWidth="1"/>
    <col min="16114" max="16114" width="39.7265625" style="217" customWidth="1"/>
    <col min="16115" max="16117" width="6.1796875" style="217" customWidth="1"/>
    <col min="16118" max="16118" width="8.453125" style="217" bestFit="1" customWidth="1"/>
    <col min="16119" max="16119" width="12.54296875" style="217" bestFit="1" customWidth="1"/>
    <col min="16120" max="16120" width="27.26953125" style="217" bestFit="1" customWidth="1"/>
    <col min="16121" max="16121" width="9.1796875" style="217" customWidth="1"/>
    <col min="16122" max="16122" width="14.7265625" style="217"/>
    <col min="16123" max="16123" width="32.81640625" style="217" customWidth="1"/>
    <col min="16124" max="16127" width="5.54296875" style="217" customWidth="1"/>
    <col min="16128" max="16128" width="7" style="217" customWidth="1"/>
    <col min="16129" max="16136" width="5.54296875" style="217" customWidth="1"/>
    <col min="16137" max="16137" width="55" style="217" customWidth="1"/>
    <col min="16138" max="16138" width="8.7265625" style="217" customWidth="1"/>
    <col min="16139" max="16139" width="8.1796875" style="217" customWidth="1"/>
    <col min="16140" max="16140" width="7.1796875" style="217" customWidth="1"/>
    <col min="16141" max="16141" width="16.54296875" style="217" bestFit="1" customWidth="1"/>
    <col min="16142" max="16142" width="18.54296875" style="217" customWidth="1"/>
    <col min="16143" max="16369" width="8.7265625" style="217" customWidth="1"/>
    <col min="16370" max="16370" width="39.7265625" style="217" customWidth="1"/>
    <col min="16371" max="16373" width="6.1796875" style="217" customWidth="1"/>
    <col min="16374" max="16374" width="8.453125" style="217" bestFit="1" customWidth="1"/>
    <col min="16375" max="16375" width="12.54296875" style="217" bestFit="1" customWidth="1"/>
    <col min="16376" max="16376" width="27.26953125" style="217" bestFit="1" customWidth="1"/>
    <col min="16377" max="16384" width="9.1796875" style="217" customWidth="1"/>
  </cols>
  <sheetData>
    <row r="1" spans="1:18" ht="16" thickBot="1" x14ac:dyDescent="0.35">
      <c r="A1" s="256" t="s">
        <v>387</v>
      </c>
      <c r="B1" s="257"/>
      <c r="C1" s="314"/>
      <c r="D1" s="257"/>
      <c r="E1" s="257"/>
      <c r="F1" s="257"/>
      <c r="G1" s="257"/>
      <c r="H1" s="257"/>
      <c r="I1" s="257"/>
      <c r="J1" s="257"/>
      <c r="K1" s="257"/>
      <c r="L1" s="257"/>
      <c r="M1" s="257"/>
    </row>
    <row r="2" spans="1:18" s="53" customFormat="1" ht="10.5" customHeight="1" x14ac:dyDescent="0.35">
      <c r="A2" s="1571" t="s">
        <v>360</v>
      </c>
      <c r="B2" s="1494" t="s">
        <v>361</v>
      </c>
      <c r="C2" s="1494"/>
      <c r="D2" s="1494"/>
      <c r="E2" s="1494"/>
      <c r="F2" s="1494"/>
      <c r="G2" s="1494"/>
      <c r="H2" s="1494"/>
      <c r="I2" s="1574" t="s">
        <v>52</v>
      </c>
      <c r="J2" s="1504" t="s">
        <v>348</v>
      </c>
      <c r="K2" s="1505"/>
      <c r="L2" s="1510" t="s">
        <v>349</v>
      </c>
      <c r="M2" s="1488" t="s">
        <v>449</v>
      </c>
    </row>
    <row r="3" spans="1:18" s="53" customFormat="1" ht="14.5" x14ac:dyDescent="0.35">
      <c r="A3" s="1572"/>
      <c r="B3" s="1498"/>
      <c r="C3" s="1498"/>
      <c r="D3" s="1498"/>
      <c r="E3" s="1498"/>
      <c r="F3" s="1498"/>
      <c r="G3" s="1498"/>
      <c r="H3" s="1498"/>
      <c r="I3" s="1575"/>
      <c r="J3" s="1506"/>
      <c r="K3" s="1507"/>
      <c r="L3" s="1511"/>
      <c r="M3" s="1489"/>
    </row>
    <row r="4" spans="1:18" s="53" customFormat="1" ht="14.5" x14ac:dyDescent="0.35">
      <c r="A4" s="1572"/>
      <c r="B4" s="1498"/>
      <c r="C4" s="1498"/>
      <c r="D4" s="1498"/>
      <c r="E4" s="1498"/>
      <c r="F4" s="1498"/>
      <c r="G4" s="1498"/>
      <c r="H4" s="1498"/>
      <c r="I4" s="1575"/>
      <c r="J4" s="1506"/>
      <c r="K4" s="1507"/>
      <c r="L4" s="1511"/>
      <c r="M4" s="1489"/>
    </row>
    <row r="5" spans="1:18" s="53" customFormat="1" ht="14.5" x14ac:dyDescent="0.35">
      <c r="A5" s="1572"/>
      <c r="B5" s="1498"/>
      <c r="C5" s="1498"/>
      <c r="D5" s="1498"/>
      <c r="E5" s="1498"/>
      <c r="F5" s="1498"/>
      <c r="G5" s="1498"/>
      <c r="H5" s="1498"/>
      <c r="I5" s="1575"/>
      <c r="J5" s="1508"/>
      <c r="K5" s="1509"/>
      <c r="L5" s="1511"/>
      <c r="M5" s="1489"/>
    </row>
    <row r="6" spans="1:18" s="141" customFormat="1" ht="24.5" thickBot="1" x14ac:dyDescent="0.35">
      <c r="A6" s="1573"/>
      <c r="B6" s="348">
        <v>2021</v>
      </c>
      <c r="C6" s="348">
        <v>2022</v>
      </c>
      <c r="D6" s="348">
        <v>2023</v>
      </c>
      <c r="E6" s="348">
        <v>2024</v>
      </c>
      <c r="F6" s="348">
        <v>2025</v>
      </c>
      <c r="G6" s="348">
        <v>2026</v>
      </c>
      <c r="H6" s="348">
        <v>2027</v>
      </c>
      <c r="I6" s="1576"/>
      <c r="J6" s="350" t="s">
        <v>362</v>
      </c>
      <c r="K6" s="350" t="s">
        <v>351</v>
      </c>
      <c r="L6" s="1512"/>
      <c r="M6" s="1489"/>
    </row>
    <row r="7" spans="1:18" hidden="1" x14ac:dyDescent="0.3">
      <c r="A7" s="1583" t="s">
        <v>282</v>
      </c>
      <c r="B7" s="1519"/>
      <c r="C7" s="1520"/>
      <c r="D7" s="1520"/>
      <c r="E7" s="1520"/>
      <c r="F7" s="1520"/>
      <c r="G7" s="1520"/>
      <c r="H7" s="1520"/>
      <c r="I7" s="1586" t="s">
        <v>52</v>
      </c>
      <c r="J7" s="1525" t="s">
        <v>53</v>
      </c>
      <c r="K7" s="1525" t="s">
        <v>53</v>
      </c>
      <c r="L7" s="1525" t="s">
        <v>54</v>
      </c>
      <c r="M7" s="1513" t="s">
        <v>339</v>
      </c>
      <c r="P7" s="166"/>
      <c r="Q7" s="166"/>
      <c r="R7" s="166"/>
    </row>
    <row r="8" spans="1:18" hidden="1" x14ac:dyDescent="0.3">
      <c r="A8" s="1584"/>
      <c r="B8" s="262">
        <f t="shared" ref="B8:H8" si="0">SUM(B11:B36)</f>
        <v>0</v>
      </c>
      <c r="C8" s="262">
        <f t="shared" si="0"/>
        <v>0</v>
      </c>
      <c r="D8" s="262">
        <f t="shared" si="0"/>
        <v>0</v>
      </c>
      <c r="E8" s="262">
        <f t="shared" si="0"/>
        <v>0</v>
      </c>
      <c r="F8" s="262">
        <f t="shared" si="0"/>
        <v>0</v>
      </c>
      <c r="G8" s="262">
        <f t="shared" si="0"/>
        <v>0</v>
      </c>
      <c r="H8" s="262">
        <f t="shared" si="0"/>
        <v>0</v>
      </c>
      <c r="I8" s="1587"/>
      <c r="J8" s="1526"/>
      <c r="K8" s="1526"/>
      <c r="L8" s="1526"/>
      <c r="M8" s="1514"/>
    </row>
    <row r="9" spans="1:18" s="263" customFormat="1" ht="13.5" hidden="1" thickBot="1" x14ac:dyDescent="0.35">
      <c r="A9" s="1585"/>
      <c r="B9" s="55">
        <v>2021</v>
      </c>
      <c r="C9" s="55">
        <v>2022</v>
      </c>
      <c r="D9" s="55">
        <v>2023</v>
      </c>
      <c r="E9" s="55">
        <v>2024</v>
      </c>
      <c r="F9" s="55">
        <v>2025</v>
      </c>
      <c r="G9" s="56">
        <v>2026</v>
      </c>
      <c r="H9" s="56">
        <v>2027</v>
      </c>
      <c r="I9" s="1588"/>
      <c r="J9" s="1527"/>
      <c r="K9" s="1527"/>
      <c r="L9" s="1527"/>
      <c r="M9" s="1515"/>
    </row>
    <row r="10" spans="1:18" s="263" customFormat="1" hidden="1" x14ac:dyDescent="0.3">
      <c r="A10" s="317">
        <v>1</v>
      </c>
      <c r="B10" s="317">
        <v>5</v>
      </c>
      <c r="C10" s="317">
        <v>6</v>
      </c>
      <c r="D10" s="317">
        <v>7</v>
      </c>
      <c r="E10" s="317">
        <v>8</v>
      </c>
      <c r="F10" s="317">
        <v>9</v>
      </c>
      <c r="G10" s="317">
        <v>10</v>
      </c>
      <c r="H10" s="317">
        <v>11</v>
      </c>
      <c r="I10" s="317">
        <v>15</v>
      </c>
      <c r="J10" s="317">
        <v>16</v>
      </c>
      <c r="K10" s="317">
        <v>17</v>
      </c>
      <c r="L10" s="317">
        <v>18</v>
      </c>
      <c r="M10" s="317">
        <v>19</v>
      </c>
    </row>
    <row r="11" spans="1:18" s="263" customFormat="1" x14ac:dyDescent="0.3">
      <c r="A11" s="403" t="s">
        <v>55</v>
      </c>
      <c r="B11" s="401"/>
      <c r="C11" s="401"/>
      <c r="D11" s="401"/>
      <c r="E11" s="401"/>
      <c r="F11" s="401"/>
      <c r="G11" s="401"/>
      <c r="H11" s="401"/>
      <c r="I11" s="404"/>
      <c r="J11" s="405"/>
      <c r="K11" s="405"/>
      <c r="L11" s="405"/>
      <c r="M11" s="405"/>
    </row>
    <row r="12" spans="1:18" s="274" customFormat="1" ht="26.25" customHeight="1" x14ac:dyDescent="0.3">
      <c r="A12" s="269" t="s">
        <v>283</v>
      </c>
      <c r="B12" s="58"/>
      <c r="C12" s="58" t="s">
        <v>352</v>
      </c>
      <c r="D12" s="58" t="s">
        <v>352</v>
      </c>
      <c r="E12" s="58"/>
      <c r="F12" s="180"/>
      <c r="G12" s="180"/>
      <c r="H12" s="180"/>
      <c r="I12" s="252" t="s">
        <v>284</v>
      </c>
      <c r="J12" s="271">
        <v>17.5</v>
      </c>
      <c r="K12" s="271">
        <v>26</v>
      </c>
      <c r="L12" s="271">
        <v>8.5</v>
      </c>
      <c r="M12" s="272">
        <v>16500</v>
      </c>
      <c r="N12" s="273"/>
      <c r="P12" s="275"/>
    </row>
    <row r="13" spans="1:18" s="274" customFormat="1" ht="39" x14ac:dyDescent="0.3">
      <c r="A13" s="269" t="s">
        <v>331</v>
      </c>
      <c r="B13" s="58"/>
      <c r="C13" s="70"/>
      <c r="D13" s="58" t="s">
        <v>352</v>
      </c>
      <c r="E13" s="58" t="s">
        <v>352</v>
      </c>
      <c r="F13" s="180"/>
      <c r="G13" s="180"/>
      <c r="H13" s="180"/>
      <c r="I13" s="252" t="s">
        <v>564</v>
      </c>
      <c r="J13" s="271">
        <v>26</v>
      </c>
      <c r="K13" s="271">
        <v>65</v>
      </c>
      <c r="L13" s="271">
        <v>39</v>
      </c>
      <c r="M13" s="272" t="s">
        <v>285</v>
      </c>
      <c r="N13" s="273"/>
      <c r="P13" s="275"/>
    </row>
    <row r="14" spans="1:18" s="274" customFormat="1" ht="52" x14ac:dyDescent="0.3">
      <c r="A14" s="269" t="s">
        <v>332</v>
      </c>
      <c r="B14" s="58" t="s">
        <v>352</v>
      </c>
      <c r="C14" s="70" t="s">
        <v>352</v>
      </c>
      <c r="D14" s="58"/>
      <c r="E14" s="58"/>
      <c r="F14" s="180"/>
      <c r="G14" s="180"/>
      <c r="H14" s="180"/>
      <c r="I14" s="252" t="s">
        <v>411</v>
      </c>
      <c r="J14" s="271">
        <v>78</v>
      </c>
      <c r="K14" s="271">
        <v>88</v>
      </c>
      <c r="L14" s="271">
        <v>10</v>
      </c>
      <c r="M14" s="272">
        <v>5800</v>
      </c>
      <c r="N14" s="273"/>
      <c r="P14" s="275"/>
    </row>
    <row r="15" spans="1:18" s="274" customFormat="1" ht="39" x14ac:dyDescent="0.3">
      <c r="A15" s="269" t="s">
        <v>333</v>
      </c>
      <c r="B15" s="58"/>
      <c r="C15" s="70"/>
      <c r="D15" s="58" t="s">
        <v>352</v>
      </c>
      <c r="E15" s="58" t="s">
        <v>352</v>
      </c>
      <c r="F15" s="180" t="s">
        <v>352</v>
      </c>
      <c r="G15" s="180" t="s">
        <v>352</v>
      </c>
      <c r="H15" s="180" t="s">
        <v>352</v>
      </c>
      <c r="I15" s="252" t="s">
        <v>406</v>
      </c>
      <c r="J15" s="271">
        <v>88</v>
      </c>
      <c r="K15" s="271">
        <v>208</v>
      </c>
      <c r="L15" s="271">
        <v>120</v>
      </c>
      <c r="M15" s="272" t="s">
        <v>288</v>
      </c>
      <c r="N15" s="275"/>
      <c r="P15" s="275"/>
    </row>
    <row r="16" spans="1:18" s="261" customFormat="1" ht="26" x14ac:dyDescent="0.3">
      <c r="A16" s="406" t="s">
        <v>64</v>
      </c>
      <c r="B16" s="324"/>
      <c r="C16" s="324"/>
      <c r="D16" s="324"/>
      <c r="E16" s="324"/>
      <c r="F16" s="324"/>
      <c r="G16" s="324"/>
      <c r="H16" s="324"/>
      <c r="I16" s="407"/>
      <c r="J16" s="402"/>
      <c r="K16" s="402"/>
      <c r="L16" s="402"/>
      <c r="M16" s="402"/>
    </row>
    <row r="17" spans="1:15" s="281" customFormat="1" ht="39" x14ac:dyDescent="0.3">
      <c r="A17" s="269" t="s">
        <v>410</v>
      </c>
      <c r="B17" s="58" t="s">
        <v>352</v>
      </c>
      <c r="C17" s="58" t="s">
        <v>352</v>
      </c>
      <c r="D17" s="279"/>
      <c r="E17" s="58"/>
      <c r="F17" s="58"/>
      <c r="G17" s="58"/>
      <c r="H17" s="58"/>
      <c r="I17" s="252" t="s">
        <v>289</v>
      </c>
      <c r="J17" s="57">
        <v>40</v>
      </c>
      <c r="K17" s="57">
        <v>85</v>
      </c>
      <c r="L17" s="57">
        <f>K17-J17</f>
        <v>45</v>
      </c>
      <c r="M17" s="58">
        <v>7700</v>
      </c>
      <c r="N17" s="280" t="s">
        <v>290</v>
      </c>
    </row>
    <row r="18" spans="1:15" s="281" customFormat="1" x14ac:dyDescent="0.3">
      <c r="A18" s="269" t="s">
        <v>291</v>
      </c>
      <c r="B18" s="70"/>
      <c r="C18" s="282"/>
      <c r="D18" s="58"/>
      <c r="E18" s="58"/>
      <c r="F18" s="58"/>
      <c r="G18" s="58" t="s">
        <v>352</v>
      </c>
      <c r="H18" s="58" t="s">
        <v>352</v>
      </c>
      <c r="I18" s="252" t="s">
        <v>299</v>
      </c>
      <c r="J18" s="57">
        <v>92</v>
      </c>
      <c r="K18" s="57">
        <v>102</v>
      </c>
      <c r="L18" s="57">
        <v>10</v>
      </c>
      <c r="M18" s="58">
        <v>7300</v>
      </c>
      <c r="N18" s="283"/>
    </row>
    <row r="19" spans="1:15" s="281" customFormat="1" ht="26" x14ac:dyDescent="0.3">
      <c r="A19" s="269" t="s">
        <v>293</v>
      </c>
      <c r="B19" s="70"/>
      <c r="C19" s="282"/>
      <c r="D19" s="58" t="s">
        <v>352</v>
      </c>
      <c r="E19" s="58" t="s">
        <v>352</v>
      </c>
      <c r="F19" s="58" t="s">
        <v>352</v>
      </c>
      <c r="G19" s="58"/>
      <c r="H19" s="58"/>
      <c r="I19" s="252" t="s">
        <v>294</v>
      </c>
      <c r="J19" s="57">
        <v>102</v>
      </c>
      <c r="K19" s="57">
        <v>178</v>
      </c>
      <c r="L19" s="57">
        <f>K19-J19</f>
        <v>76</v>
      </c>
      <c r="M19" s="58" t="s">
        <v>295</v>
      </c>
    </row>
    <row r="20" spans="1:15" s="281" customFormat="1" x14ac:dyDescent="0.3">
      <c r="A20" s="269" t="s">
        <v>300</v>
      </c>
      <c r="B20" s="70"/>
      <c r="C20" s="285"/>
      <c r="D20" s="58"/>
      <c r="E20" s="58"/>
      <c r="F20" s="58"/>
      <c r="G20" s="58" t="s">
        <v>352</v>
      </c>
      <c r="H20" s="58" t="s">
        <v>352</v>
      </c>
      <c r="I20" s="252" t="s">
        <v>301</v>
      </c>
      <c r="J20" s="57">
        <v>126</v>
      </c>
      <c r="K20" s="57">
        <v>132</v>
      </c>
      <c r="L20" s="57">
        <v>8</v>
      </c>
      <c r="M20" s="58">
        <v>6200</v>
      </c>
    </row>
    <row r="21" spans="1:15" s="281" customFormat="1" ht="39" x14ac:dyDescent="0.3">
      <c r="A21" s="269" t="s">
        <v>334</v>
      </c>
      <c r="B21" s="58" t="s">
        <v>352</v>
      </c>
      <c r="C21" s="58"/>
      <c r="D21" s="284"/>
      <c r="E21" s="284"/>
      <c r="F21" s="284"/>
      <c r="G21" s="284"/>
      <c r="H21" s="284"/>
      <c r="I21" s="252" t="s">
        <v>303</v>
      </c>
      <c r="J21" s="57">
        <v>184.1</v>
      </c>
      <c r="K21" s="57">
        <v>185.9</v>
      </c>
      <c r="L21" s="57">
        <f>K21-J21</f>
        <v>1.8000000000000114</v>
      </c>
      <c r="M21" s="58">
        <v>12000</v>
      </c>
      <c r="O21" s="281" t="s">
        <v>73</v>
      </c>
    </row>
    <row r="22" spans="1:15" s="261" customFormat="1" ht="26" x14ac:dyDescent="0.3">
      <c r="A22" s="406" t="s">
        <v>76</v>
      </c>
      <c r="B22" s="324"/>
      <c r="C22" s="324"/>
      <c r="D22" s="324"/>
      <c r="E22" s="324"/>
      <c r="F22" s="324"/>
      <c r="G22" s="324"/>
      <c r="H22" s="324"/>
      <c r="I22" s="407"/>
      <c r="J22" s="402"/>
      <c r="K22" s="402"/>
      <c r="L22" s="402"/>
      <c r="M22" s="402"/>
    </row>
    <row r="23" spans="1:15" s="261" customFormat="1" ht="26" x14ac:dyDescent="0.3">
      <c r="A23" s="287" t="s">
        <v>309</v>
      </c>
      <c r="B23" s="70"/>
      <c r="C23" s="70"/>
      <c r="D23" s="70"/>
      <c r="E23" s="70"/>
      <c r="F23" s="70" t="s">
        <v>352</v>
      </c>
      <c r="G23" s="70" t="s">
        <v>352</v>
      </c>
      <c r="H23" s="70" t="s">
        <v>352</v>
      </c>
      <c r="I23" s="254" t="s">
        <v>310</v>
      </c>
      <c r="J23" s="71">
        <v>138.69999999999999</v>
      </c>
      <c r="K23" s="71">
        <v>148</v>
      </c>
      <c r="L23" s="71">
        <v>9.3000000000000007</v>
      </c>
      <c r="M23" s="71" t="s">
        <v>311</v>
      </c>
    </row>
    <row r="24" spans="1:15" s="261" customFormat="1" ht="26" x14ac:dyDescent="0.3">
      <c r="A24" s="406" t="s">
        <v>77</v>
      </c>
      <c r="B24" s="324"/>
      <c r="C24" s="324"/>
      <c r="D24" s="324"/>
      <c r="E24" s="324"/>
      <c r="F24" s="324"/>
      <c r="G24" s="324"/>
      <c r="H24" s="324"/>
      <c r="I24" s="407"/>
      <c r="J24" s="402"/>
      <c r="K24" s="402"/>
      <c r="L24" s="402"/>
      <c r="M24" s="324"/>
    </row>
    <row r="25" spans="1:15" s="281" customFormat="1" ht="39" x14ac:dyDescent="0.3">
      <c r="A25" s="269" t="s">
        <v>312</v>
      </c>
      <c r="B25" s="58" t="s">
        <v>352</v>
      </c>
      <c r="C25" s="70" t="s">
        <v>352</v>
      </c>
      <c r="D25" s="58" t="s">
        <v>352</v>
      </c>
      <c r="E25" s="58" t="s">
        <v>352</v>
      </c>
      <c r="F25" s="180" t="s">
        <v>352</v>
      </c>
      <c r="G25" s="289" t="s">
        <v>352</v>
      </c>
      <c r="H25" s="289"/>
      <c r="I25" s="252" t="s">
        <v>313</v>
      </c>
      <c r="J25" s="57">
        <v>42</v>
      </c>
      <c r="K25" s="57">
        <v>119</v>
      </c>
      <c r="L25" s="57">
        <v>50</v>
      </c>
      <c r="M25" s="58" t="s">
        <v>314</v>
      </c>
    </row>
    <row r="26" spans="1:15" s="281" customFormat="1" x14ac:dyDescent="0.3">
      <c r="A26" s="269" t="s">
        <v>315</v>
      </c>
      <c r="B26" s="58"/>
      <c r="C26" s="70"/>
      <c r="D26" s="58" t="s">
        <v>352</v>
      </c>
      <c r="E26" s="58" t="s">
        <v>352</v>
      </c>
      <c r="F26" s="289"/>
      <c r="G26" s="180"/>
      <c r="H26" s="289"/>
      <c r="I26" s="252" t="s">
        <v>316</v>
      </c>
      <c r="J26" s="57">
        <v>92</v>
      </c>
      <c r="K26" s="57">
        <v>99</v>
      </c>
      <c r="L26" s="57">
        <v>7</v>
      </c>
      <c r="M26" s="58">
        <v>7300</v>
      </c>
    </row>
    <row r="27" spans="1:15" s="281" customFormat="1" ht="26" x14ac:dyDescent="0.3">
      <c r="A27" s="269" t="s">
        <v>317</v>
      </c>
      <c r="B27" s="58"/>
      <c r="C27" s="70"/>
      <c r="D27" s="58"/>
      <c r="E27" s="58" t="s">
        <v>352</v>
      </c>
      <c r="F27" s="180" t="s">
        <v>352</v>
      </c>
      <c r="G27" s="289"/>
      <c r="H27" s="180"/>
      <c r="I27" s="255" t="s">
        <v>318</v>
      </c>
      <c r="J27" s="57">
        <v>107.9</v>
      </c>
      <c r="K27" s="57">
        <v>115.2</v>
      </c>
      <c r="L27" s="57">
        <f>K27-J27</f>
        <v>7.2999999999999972</v>
      </c>
      <c r="M27" s="58">
        <v>7300</v>
      </c>
    </row>
    <row r="28" spans="1:15" s="281" customFormat="1" ht="26" x14ac:dyDescent="0.3">
      <c r="A28" s="269" t="s">
        <v>319</v>
      </c>
      <c r="B28" s="70" t="s">
        <v>352</v>
      </c>
      <c r="C28" s="70" t="s">
        <v>352</v>
      </c>
      <c r="D28" s="180"/>
      <c r="E28" s="58"/>
      <c r="F28" s="58"/>
      <c r="G28" s="58"/>
      <c r="H28" s="58"/>
      <c r="I28" s="252" t="s">
        <v>320</v>
      </c>
      <c r="J28" s="57">
        <v>134</v>
      </c>
      <c r="K28" s="57">
        <v>141</v>
      </c>
      <c r="L28" s="57">
        <f>K28-J28</f>
        <v>7</v>
      </c>
      <c r="M28" s="58">
        <v>8500</v>
      </c>
    </row>
    <row r="29" spans="1:15" s="261" customFormat="1" ht="26" x14ac:dyDescent="0.3">
      <c r="A29" s="406" t="s">
        <v>87</v>
      </c>
      <c r="B29" s="324"/>
      <c r="C29" s="324"/>
      <c r="D29" s="324"/>
      <c r="E29" s="324"/>
      <c r="F29" s="324"/>
      <c r="G29" s="324"/>
      <c r="H29" s="324"/>
      <c r="I29" s="407"/>
      <c r="J29" s="402"/>
      <c r="K29" s="402"/>
      <c r="L29" s="402"/>
      <c r="M29" s="402"/>
    </row>
    <row r="30" spans="1:15" s="261" customFormat="1" ht="26" x14ac:dyDescent="0.3">
      <c r="A30" s="406" t="s">
        <v>90</v>
      </c>
      <c r="B30" s="324"/>
      <c r="C30" s="324"/>
      <c r="D30" s="324"/>
      <c r="E30" s="324"/>
      <c r="F30" s="324"/>
      <c r="G30" s="324"/>
      <c r="H30" s="324"/>
      <c r="I30" s="407"/>
      <c r="J30" s="402"/>
      <c r="K30" s="402"/>
      <c r="L30" s="402"/>
      <c r="M30" s="402"/>
    </row>
    <row r="31" spans="1:15" s="281" customFormat="1" ht="39" x14ac:dyDescent="0.3">
      <c r="A31" s="269" t="s">
        <v>321</v>
      </c>
      <c r="B31" s="58" t="s">
        <v>352</v>
      </c>
      <c r="C31" s="180" t="s">
        <v>352</v>
      </c>
      <c r="D31" s="58"/>
      <c r="E31" s="58"/>
      <c r="F31" s="58"/>
      <c r="G31" s="58"/>
      <c r="H31" s="58"/>
      <c r="I31" s="252" t="s">
        <v>322</v>
      </c>
      <c r="J31" s="57">
        <v>11</v>
      </c>
      <c r="K31" s="57">
        <v>14</v>
      </c>
      <c r="L31" s="57">
        <f>K31-J31</f>
        <v>3</v>
      </c>
      <c r="M31" s="58">
        <v>14000</v>
      </c>
    </row>
    <row r="32" spans="1:15" s="281" customFormat="1" ht="39" x14ac:dyDescent="0.3">
      <c r="A32" s="269" t="s">
        <v>335</v>
      </c>
      <c r="B32" s="290"/>
      <c r="C32" s="282"/>
      <c r="D32" s="58"/>
      <c r="E32" s="58"/>
      <c r="F32" s="58" t="s">
        <v>352</v>
      </c>
      <c r="G32" s="58" t="s">
        <v>352</v>
      </c>
      <c r="H32" s="58" t="s">
        <v>352</v>
      </c>
      <c r="I32" s="252" t="s">
        <v>323</v>
      </c>
      <c r="J32" s="57">
        <v>14</v>
      </c>
      <c r="K32" s="57">
        <v>46.8</v>
      </c>
      <c r="L32" s="57">
        <v>32.799999999999997</v>
      </c>
      <c r="M32" s="58" t="s">
        <v>324</v>
      </c>
    </row>
    <row r="33" spans="1:249" s="261" customFormat="1" ht="26" x14ac:dyDescent="0.3">
      <c r="A33" s="406" t="s">
        <v>92</v>
      </c>
      <c r="B33" s="324"/>
      <c r="C33" s="324"/>
      <c r="D33" s="324"/>
      <c r="E33" s="324"/>
      <c r="F33" s="324"/>
      <c r="G33" s="324"/>
      <c r="H33" s="324"/>
      <c r="I33" s="407"/>
      <c r="J33" s="402"/>
      <c r="K33" s="402"/>
      <c r="L33" s="402"/>
      <c r="M33" s="402"/>
    </row>
    <row r="34" spans="1:249" s="261" customFormat="1" ht="26" x14ac:dyDescent="0.3">
      <c r="A34" s="406" t="s">
        <v>93</v>
      </c>
      <c r="B34" s="324"/>
      <c r="C34" s="324"/>
      <c r="D34" s="324"/>
      <c r="E34" s="324"/>
      <c r="F34" s="324"/>
      <c r="G34" s="324"/>
      <c r="H34" s="324"/>
      <c r="I34" s="407"/>
      <c r="J34" s="324"/>
      <c r="K34" s="324"/>
      <c r="L34" s="324"/>
      <c r="M34" s="402"/>
    </row>
    <row r="35" spans="1:249" s="281" customFormat="1" ht="26" x14ac:dyDescent="0.3">
      <c r="A35" s="406" t="s">
        <v>94</v>
      </c>
      <c r="B35" s="324"/>
      <c r="C35" s="324"/>
      <c r="D35" s="324"/>
      <c r="E35" s="324"/>
      <c r="F35" s="324"/>
      <c r="G35" s="324"/>
      <c r="H35" s="324"/>
      <c r="I35" s="407"/>
      <c r="J35" s="324"/>
      <c r="K35" s="324"/>
      <c r="L35" s="324"/>
      <c r="M35" s="402"/>
    </row>
    <row r="36" spans="1:249" s="281" customFormat="1" ht="26.5" thickBot="1" x14ac:dyDescent="0.35">
      <c r="A36" s="293" t="s">
        <v>338</v>
      </c>
      <c r="B36" s="65"/>
      <c r="C36" s="294"/>
      <c r="D36" s="65" t="s">
        <v>352</v>
      </c>
      <c r="E36" s="65" t="s">
        <v>352</v>
      </c>
      <c r="F36" s="295" t="s">
        <v>352</v>
      </c>
      <c r="G36" s="295"/>
      <c r="H36" s="295"/>
      <c r="I36" s="252" t="s">
        <v>327</v>
      </c>
      <c r="J36" s="57">
        <v>32.5</v>
      </c>
      <c r="K36" s="57">
        <v>37.799999999999997</v>
      </c>
      <c r="L36" s="57">
        <f>K36-J36</f>
        <v>5.2999999999999972</v>
      </c>
      <c r="M36" s="58">
        <v>8200</v>
      </c>
    </row>
    <row r="37" spans="1:249" s="281" customFormat="1" ht="13.5" thickBot="1" x14ac:dyDescent="0.35">
      <c r="A37" s="429" t="s">
        <v>330</v>
      </c>
      <c r="B37" s="439">
        <v>74000</v>
      </c>
      <c r="C37" s="439">
        <v>77000</v>
      </c>
      <c r="D37" s="439">
        <v>45000</v>
      </c>
      <c r="E37" s="439">
        <v>40000</v>
      </c>
      <c r="F37" s="439">
        <v>40000</v>
      </c>
      <c r="G37" s="439">
        <v>40000</v>
      </c>
      <c r="H37" s="439">
        <v>35000</v>
      </c>
      <c r="I37" s="299"/>
      <c r="J37" s="57"/>
      <c r="K37" s="57"/>
      <c r="L37" s="57"/>
      <c r="M37" s="58"/>
    </row>
    <row r="38" spans="1:249" x14ac:dyDescent="0.3">
      <c r="A38" s="300"/>
      <c r="B38" s="301"/>
      <c r="C38" s="302"/>
      <c r="D38" s="301"/>
      <c r="E38" s="301"/>
      <c r="F38" s="301"/>
      <c r="G38" s="301"/>
      <c r="H38" s="301"/>
      <c r="I38" s="303"/>
    </row>
    <row r="39" spans="1:249" x14ac:dyDescent="0.3">
      <c r="A39" s="300"/>
      <c r="B39" s="301"/>
      <c r="C39" s="302"/>
      <c r="D39" s="301"/>
      <c r="E39" s="301"/>
      <c r="F39" s="301"/>
      <c r="G39" s="301"/>
      <c r="H39" s="301"/>
      <c r="I39" s="303"/>
    </row>
    <row r="40" spans="1:249" x14ac:dyDescent="0.3">
      <c r="A40" s="300"/>
      <c r="B40" s="301"/>
      <c r="C40" s="302"/>
      <c r="D40" s="301"/>
      <c r="E40" s="301"/>
      <c r="F40" s="301"/>
      <c r="G40" s="301"/>
      <c r="H40" s="301"/>
      <c r="I40" s="303"/>
    </row>
    <row r="41" spans="1:249" s="261" customFormat="1" x14ac:dyDescent="0.3">
      <c r="A41" s="300"/>
      <c r="B41" s="301"/>
      <c r="C41" s="302"/>
      <c r="D41" s="301"/>
      <c r="E41" s="301"/>
      <c r="F41" s="301"/>
      <c r="G41" s="301"/>
      <c r="H41" s="301"/>
      <c r="I41" s="303"/>
      <c r="N41" s="217"/>
      <c r="O41" s="217"/>
      <c r="P41" s="217"/>
      <c r="Q41" s="217"/>
      <c r="R41" s="217"/>
      <c r="S41" s="217"/>
      <c r="T41" s="217"/>
      <c r="U41" s="217"/>
      <c r="V41" s="217"/>
      <c r="W41" s="217"/>
      <c r="X41" s="217"/>
      <c r="Y41" s="217"/>
      <c r="Z41" s="217"/>
      <c r="AA41" s="217"/>
      <c r="AB41" s="217"/>
      <c r="AC41" s="217"/>
      <c r="AD41" s="217"/>
      <c r="AE41" s="217"/>
      <c r="AF41" s="217"/>
      <c r="AG41" s="217"/>
      <c r="AH41" s="217"/>
      <c r="AI41" s="217"/>
      <c r="AJ41" s="217"/>
      <c r="AK41" s="217"/>
      <c r="AL41" s="217"/>
      <c r="AM41" s="217"/>
      <c r="AN41" s="217"/>
      <c r="AO41" s="217"/>
      <c r="AP41" s="217"/>
      <c r="AQ41" s="217"/>
      <c r="AR41" s="217"/>
      <c r="AS41" s="217"/>
      <c r="AT41" s="217"/>
      <c r="AU41" s="217"/>
      <c r="AV41" s="217"/>
      <c r="AW41" s="217"/>
      <c r="AX41" s="217"/>
      <c r="AY41" s="217"/>
      <c r="AZ41" s="217"/>
      <c r="BA41" s="217"/>
      <c r="BB41" s="217"/>
      <c r="BC41" s="217"/>
      <c r="BD41" s="217"/>
      <c r="BE41" s="217"/>
      <c r="BF41" s="217"/>
      <c r="BG41" s="217"/>
      <c r="BH41" s="217"/>
      <c r="BI41" s="217"/>
      <c r="BJ41" s="217"/>
      <c r="BK41" s="217"/>
      <c r="BL41" s="217"/>
      <c r="BM41" s="217"/>
      <c r="BN41" s="217"/>
      <c r="BO41" s="217"/>
      <c r="BP41" s="217"/>
      <c r="BQ41" s="217"/>
      <c r="BR41" s="217"/>
      <c r="BS41" s="217"/>
      <c r="BT41" s="217"/>
      <c r="BU41" s="217"/>
      <c r="BV41" s="217"/>
      <c r="BW41" s="217"/>
      <c r="BX41" s="217"/>
      <c r="BY41" s="217"/>
      <c r="BZ41" s="217"/>
      <c r="CA41" s="217"/>
      <c r="CB41" s="217"/>
      <c r="CC41" s="217"/>
      <c r="CD41" s="217"/>
      <c r="CE41" s="217"/>
      <c r="CF41" s="217"/>
      <c r="CG41" s="217"/>
      <c r="CH41" s="217"/>
      <c r="CI41" s="217"/>
      <c r="CJ41" s="217"/>
      <c r="CK41" s="217"/>
      <c r="CL41" s="217"/>
      <c r="CM41" s="217"/>
      <c r="CN41" s="217"/>
      <c r="CO41" s="217"/>
      <c r="CP41" s="217"/>
      <c r="CQ41" s="217"/>
      <c r="CR41" s="217"/>
      <c r="CS41" s="217"/>
      <c r="CT41" s="217"/>
      <c r="CU41" s="217"/>
      <c r="CV41" s="217"/>
      <c r="CW41" s="217"/>
      <c r="CX41" s="217"/>
      <c r="CY41" s="217"/>
      <c r="CZ41" s="217"/>
      <c r="DA41" s="217"/>
      <c r="DB41" s="217"/>
      <c r="DC41" s="217"/>
      <c r="DD41" s="217"/>
      <c r="DE41" s="217"/>
      <c r="DF41" s="217"/>
      <c r="DG41" s="217"/>
      <c r="DH41" s="217"/>
      <c r="DI41" s="217"/>
      <c r="DJ41" s="217"/>
      <c r="DK41" s="217"/>
      <c r="DL41" s="217"/>
      <c r="DM41" s="217"/>
      <c r="DN41" s="217"/>
      <c r="DO41" s="217"/>
      <c r="DP41" s="217"/>
      <c r="DQ41" s="217"/>
      <c r="DR41" s="217"/>
      <c r="DS41" s="217"/>
      <c r="DT41" s="217"/>
      <c r="DU41" s="217"/>
      <c r="DV41" s="217"/>
      <c r="DW41" s="217"/>
      <c r="DX41" s="217"/>
      <c r="DY41" s="217"/>
      <c r="DZ41" s="217"/>
      <c r="EA41" s="217"/>
      <c r="EB41" s="217"/>
      <c r="EC41" s="217"/>
      <c r="ED41" s="217"/>
      <c r="EE41" s="217"/>
      <c r="EF41" s="217"/>
      <c r="EG41" s="217"/>
      <c r="EH41" s="217"/>
      <c r="EI41" s="217"/>
      <c r="EJ41" s="217"/>
      <c r="EK41" s="217"/>
      <c r="EL41" s="217"/>
      <c r="EM41" s="217"/>
      <c r="EN41" s="217"/>
      <c r="EO41" s="217"/>
      <c r="EP41" s="217"/>
      <c r="EQ41" s="217"/>
      <c r="ER41" s="217"/>
      <c r="ES41" s="217"/>
      <c r="ET41" s="217"/>
      <c r="EU41" s="217"/>
      <c r="EV41" s="217"/>
      <c r="EW41" s="217"/>
      <c r="EX41" s="217"/>
      <c r="EY41" s="217"/>
      <c r="EZ41" s="217"/>
      <c r="FA41" s="217"/>
      <c r="FB41" s="217"/>
      <c r="FC41" s="217"/>
      <c r="FD41" s="217"/>
      <c r="FE41" s="217"/>
      <c r="FF41" s="217"/>
      <c r="FG41" s="217"/>
      <c r="FH41" s="217"/>
      <c r="FI41" s="217"/>
      <c r="FJ41" s="217"/>
      <c r="FK41" s="217"/>
      <c r="FL41" s="217"/>
      <c r="FM41" s="217"/>
      <c r="FN41" s="217"/>
      <c r="FO41" s="217"/>
      <c r="FP41" s="217"/>
      <c r="FQ41" s="217"/>
      <c r="FR41" s="217"/>
      <c r="FS41" s="217"/>
      <c r="FT41" s="217"/>
      <c r="FU41" s="217"/>
      <c r="FV41" s="217"/>
      <c r="FW41" s="217"/>
      <c r="FX41" s="217"/>
      <c r="FY41" s="217"/>
      <c r="FZ41" s="217"/>
      <c r="GA41" s="217"/>
      <c r="GB41" s="217"/>
      <c r="GC41" s="217"/>
      <c r="GD41" s="217"/>
      <c r="GE41" s="217"/>
      <c r="GF41" s="217"/>
      <c r="GG41" s="217"/>
      <c r="GH41" s="217"/>
      <c r="GI41" s="217"/>
      <c r="GJ41" s="217"/>
      <c r="GK41" s="217"/>
      <c r="GL41" s="217"/>
      <c r="GM41" s="217"/>
      <c r="GN41" s="217"/>
      <c r="GO41" s="217"/>
      <c r="GP41" s="217"/>
      <c r="GQ41" s="217"/>
      <c r="GR41" s="217"/>
      <c r="GS41" s="217"/>
      <c r="GT41" s="217"/>
      <c r="GU41" s="217"/>
      <c r="GV41" s="217"/>
      <c r="GW41" s="217"/>
      <c r="GX41" s="217"/>
      <c r="GY41" s="217"/>
      <c r="GZ41" s="217"/>
      <c r="HA41" s="217"/>
      <c r="HB41" s="217"/>
      <c r="HC41" s="217"/>
      <c r="HD41" s="217"/>
      <c r="HE41" s="217"/>
      <c r="HF41" s="217"/>
      <c r="HG41" s="217"/>
      <c r="HH41" s="217"/>
      <c r="HI41" s="217"/>
      <c r="HJ41" s="217"/>
      <c r="HK41" s="217"/>
      <c r="HL41" s="217"/>
      <c r="HM41" s="217"/>
      <c r="HN41" s="217"/>
      <c r="HO41" s="217"/>
      <c r="HP41" s="217"/>
      <c r="HQ41" s="217"/>
      <c r="HR41" s="217"/>
      <c r="HS41" s="217"/>
      <c r="HT41" s="217"/>
      <c r="HU41" s="217"/>
      <c r="HV41" s="217"/>
      <c r="HW41" s="217"/>
      <c r="HX41" s="217"/>
      <c r="HY41" s="217"/>
      <c r="HZ41" s="217"/>
      <c r="IA41" s="217"/>
      <c r="IB41" s="217"/>
      <c r="IC41" s="217"/>
      <c r="ID41" s="217"/>
      <c r="IE41" s="217"/>
      <c r="IF41" s="217"/>
      <c r="IG41" s="217"/>
      <c r="IH41" s="217"/>
      <c r="II41" s="217"/>
      <c r="IJ41" s="217"/>
      <c r="IK41" s="217"/>
      <c r="IL41" s="217"/>
      <c r="IM41" s="217"/>
      <c r="IN41" s="217"/>
      <c r="IO41" s="217"/>
    </row>
    <row r="42" spans="1:249" s="261" customFormat="1" x14ac:dyDescent="0.3">
      <c r="A42" s="300"/>
      <c r="B42" s="301"/>
      <c r="C42" s="302"/>
      <c r="D42" s="301"/>
      <c r="E42" s="301"/>
      <c r="F42" s="301"/>
      <c r="G42" s="301"/>
      <c r="H42" s="301"/>
      <c r="I42" s="303"/>
      <c r="N42" s="217"/>
      <c r="O42" s="217"/>
      <c r="P42" s="217"/>
      <c r="Q42" s="217"/>
      <c r="R42" s="217"/>
      <c r="S42" s="217"/>
      <c r="T42" s="217"/>
      <c r="U42" s="217"/>
      <c r="V42" s="217"/>
      <c r="W42" s="217"/>
      <c r="X42" s="217"/>
      <c r="Y42" s="217"/>
      <c r="Z42" s="217"/>
      <c r="AA42" s="217"/>
      <c r="AB42" s="217"/>
      <c r="AC42" s="217"/>
      <c r="AD42" s="217"/>
      <c r="AE42" s="217"/>
      <c r="AF42" s="217"/>
      <c r="AG42" s="217"/>
      <c r="AH42" s="217"/>
      <c r="AI42" s="217"/>
      <c r="AJ42" s="217"/>
      <c r="AK42" s="217"/>
      <c r="AL42" s="217"/>
      <c r="AM42" s="217"/>
      <c r="AN42" s="217"/>
      <c r="AO42" s="217"/>
      <c r="AP42" s="217"/>
      <c r="AQ42" s="217"/>
      <c r="AR42" s="217"/>
      <c r="AS42" s="217"/>
      <c r="AT42" s="217"/>
      <c r="AU42" s="217"/>
      <c r="AV42" s="217"/>
      <c r="AW42" s="217"/>
      <c r="AX42" s="217"/>
      <c r="AY42" s="217"/>
      <c r="AZ42" s="217"/>
      <c r="BA42" s="217"/>
      <c r="BB42" s="217"/>
      <c r="BC42" s="217"/>
      <c r="BD42" s="217"/>
      <c r="BE42" s="217"/>
      <c r="BF42" s="217"/>
      <c r="BG42" s="217"/>
      <c r="BH42" s="217"/>
      <c r="BI42" s="217"/>
      <c r="BJ42" s="217"/>
      <c r="BK42" s="217"/>
      <c r="BL42" s="217"/>
      <c r="BM42" s="217"/>
      <c r="BN42" s="217"/>
      <c r="BO42" s="217"/>
      <c r="BP42" s="217"/>
      <c r="BQ42" s="217"/>
      <c r="BR42" s="217"/>
      <c r="BS42" s="217"/>
      <c r="BT42" s="217"/>
      <c r="BU42" s="217"/>
      <c r="BV42" s="217"/>
      <c r="BW42" s="217"/>
      <c r="BX42" s="217"/>
      <c r="BY42" s="217"/>
      <c r="BZ42" s="217"/>
      <c r="CA42" s="217"/>
      <c r="CB42" s="217"/>
      <c r="CC42" s="217"/>
      <c r="CD42" s="217"/>
      <c r="CE42" s="217"/>
      <c r="CF42" s="217"/>
      <c r="CG42" s="217"/>
      <c r="CH42" s="217"/>
      <c r="CI42" s="217"/>
      <c r="CJ42" s="217"/>
      <c r="CK42" s="217"/>
      <c r="CL42" s="217"/>
      <c r="CM42" s="217"/>
      <c r="CN42" s="217"/>
      <c r="CO42" s="217"/>
      <c r="CP42" s="217"/>
      <c r="CQ42" s="217"/>
      <c r="CR42" s="217"/>
      <c r="CS42" s="217"/>
      <c r="CT42" s="217"/>
      <c r="CU42" s="217"/>
      <c r="CV42" s="217"/>
      <c r="CW42" s="217"/>
      <c r="CX42" s="217"/>
      <c r="CY42" s="217"/>
      <c r="CZ42" s="217"/>
      <c r="DA42" s="217"/>
      <c r="DB42" s="217"/>
      <c r="DC42" s="217"/>
      <c r="DD42" s="217"/>
      <c r="DE42" s="217"/>
      <c r="DF42" s="217"/>
      <c r="DG42" s="217"/>
      <c r="DH42" s="217"/>
      <c r="DI42" s="217"/>
      <c r="DJ42" s="217"/>
      <c r="DK42" s="217"/>
      <c r="DL42" s="217"/>
      <c r="DM42" s="217"/>
      <c r="DN42" s="217"/>
      <c r="DO42" s="217"/>
      <c r="DP42" s="217"/>
      <c r="DQ42" s="217"/>
      <c r="DR42" s="217"/>
      <c r="DS42" s="217"/>
      <c r="DT42" s="217"/>
      <c r="DU42" s="217"/>
      <c r="DV42" s="217"/>
      <c r="DW42" s="217"/>
      <c r="DX42" s="217"/>
      <c r="DY42" s="217"/>
      <c r="DZ42" s="217"/>
      <c r="EA42" s="217"/>
      <c r="EB42" s="217"/>
      <c r="EC42" s="217"/>
      <c r="ED42" s="217"/>
      <c r="EE42" s="217"/>
      <c r="EF42" s="217"/>
      <c r="EG42" s="217"/>
      <c r="EH42" s="217"/>
      <c r="EI42" s="217"/>
      <c r="EJ42" s="217"/>
      <c r="EK42" s="217"/>
      <c r="EL42" s="217"/>
      <c r="EM42" s="217"/>
      <c r="EN42" s="217"/>
      <c r="EO42" s="217"/>
      <c r="EP42" s="217"/>
      <c r="EQ42" s="217"/>
      <c r="ER42" s="217"/>
      <c r="ES42" s="217"/>
      <c r="ET42" s="217"/>
      <c r="EU42" s="217"/>
      <c r="EV42" s="217"/>
      <c r="EW42" s="217"/>
      <c r="EX42" s="217"/>
      <c r="EY42" s="217"/>
      <c r="EZ42" s="217"/>
      <c r="FA42" s="217"/>
      <c r="FB42" s="217"/>
      <c r="FC42" s="217"/>
      <c r="FD42" s="217"/>
      <c r="FE42" s="217"/>
      <c r="FF42" s="217"/>
      <c r="FG42" s="217"/>
      <c r="FH42" s="217"/>
      <c r="FI42" s="217"/>
      <c r="FJ42" s="217"/>
      <c r="FK42" s="217"/>
      <c r="FL42" s="217"/>
      <c r="FM42" s="217"/>
      <c r="FN42" s="217"/>
      <c r="FO42" s="217"/>
      <c r="FP42" s="217"/>
      <c r="FQ42" s="217"/>
      <c r="FR42" s="217"/>
      <c r="FS42" s="217"/>
      <c r="FT42" s="217"/>
      <c r="FU42" s="217"/>
      <c r="FV42" s="217"/>
      <c r="FW42" s="217"/>
      <c r="FX42" s="217"/>
      <c r="FY42" s="217"/>
      <c r="FZ42" s="217"/>
      <c r="GA42" s="217"/>
      <c r="GB42" s="217"/>
      <c r="GC42" s="217"/>
      <c r="GD42" s="217"/>
      <c r="GE42" s="217"/>
      <c r="GF42" s="217"/>
      <c r="GG42" s="217"/>
      <c r="GH42" s="217"/>
      <c r="GI42" s="217"/>
      <c r="GJ42" s="217"/>
      <c r="GK42" s="217"/>
      <c r="GL42" s="217"/>
      <c r="GM42" s="217"/>
      <c r="GN42" s="217"/>
      <c r="GO42" s="217"/>
      <c r="GP42" s="217"/>
      <c r="GQ42" s="217"/>
      <c r="GR42" s="217"/>
      <c r="GS42" s="217"/>
      <c r="GT42" s="217"/>
      <c r="GU42" s="217"/>
      <c r="GV42" s="217"/>
      <c r="GW42" s="217"/>
      <c r="GX42" s="217"/>
      <c r="GY42" s="217"/>
      <c r="GZ42" s="217"/>
      <c r="HA42" s="217"/>
      <c r="HB42" s="217"/>
      <c r="HC42" s="217"/>
      <c r="HD42" s="217"/>
      <c r="HE42" s="217"/>
      <c r="HF42" s="217"/>
      <c r="HG42" s="217"/>
      <c r="HH42" s="217"/>
      <c r="HI42" s="217"/>
      <c r="HJ42" s="217"/>
      <c r="HK42" s="217"/>
      <c r="HL42" s="217"/>
      <c r="HM42" s="217"/>
      <c r="HN42" s="217"/>
      <c r="HO42" s="217"/>
      <c r="HP42" s="217"/>
      <c r="HQ42" s="217"/>
      <c r="HR42" s="217"/>
      <c r="HS42" s="217"/>
      <c r="HT42" s="217"/>
      <c r="HU42" s="217"/>
      <c r="HV42" s="217"/>
      <c r="HW42" s="217"/>
      <c r="HX42" s="217"/>
      <c r="HY42" s="217"/>
      <c r="HZ42" s="217"/>
      <c r="IA42" s="217"/>
      <c r="IB42" s="217"/>
      <c r="IC42" s="217"/>
      <c r="ID42" s="217"/>
      <c r="IE42" s="217"/>
      <c r="IF42" s="217"/>
      <c r="IG42" s="217"/>
      <c r="IH42" s="217"/>
      <c r="II42" s="217"/>
      <c r="IJ42" s="217"/>
      <c r="IK42" s="217"/>
      <c r="IL42" s="217"/>
      <c r="IM42" s="217"/>
      <c r="IN42" s="217"/>
      <c r="IO42" s="217"/>
    </row>
    <row r="43" spans="1:249" s="261" customFormat="1" x14ac:dyDescent="0.3">
      <c r="B43" s="304"/>
      <c r="C43" s="305"/>
      <c r="D43" s="304"/>
      <c r="E43" s="304"/>
      <c r="F43" s="304"/>
      <c r="G43" s="304"/>
      <c r="H43" s="304"/>
      <c r="I43" s="260"/>
    </row>
    <row r="44" spans="1:249" s="261" customFormat="1" x14ac:dyDescent="0.3">
      <c r="B44" s="306"/>
      <c r="C44" s="307"/>
      <c r="D44" s="306"/>
      <c r="E44" s="306"/>
      <c r="F44" s="306"/>
      <c r="G44" s="306"/>
      <c r="H44" s="306"/>
      <c r="I44" s="260"/>
    </row>
    <row r="45" spans="1:249" s="261" customFormat="1" x14ac:dyDescent="0.3">
      <c r="B45" s="304"/>
      <c r="C45" s="305"/>
      <c r="D45" s="304"/>
      <c r="E45" s="304"/>
      <c r="F45" s="304"/>
      <c r="G45" s="304"/>
      <c r="H45" s="304"/>
      <c r="I45" s="260"/>
    </row>
    <row r="46" spans="1:249" s="261" customFormat="1" x14ac:dyDescent="0.3">
      <c r="C46" s="308"/>
      <c r="I46" s="260"/>
    </row>
    <row r="47" spans="1:249" s="261" customFormat="1" x14ac:dyDescent="0.3">
      <c r="B47" s="309"/>
      <c r="C47" s="310"/>
      <c r="D47" s="309"/>
      <c r="E47" s="309"/>
      <c r="F47" s="309"/>
      <c r="G47" s="309"/>
      <c r="H47" s="309"/>
      <c r="I47" s="260"/>
    </row>
    <row r="48" spans="1:249" s="261" customFormat="1" x14ac:dyDescent="0.3">
      <c r="C48" s="308"/>
      <c r="I48" s="260"/>
    </row>
    <row r="49" spans="2:9" s="261" customFormat="1" x14ac:dyDescent="0.3">
      <c r="B49" s="309"/>
      <c r="C49" s="310"/>
      <c r="D49" s="309"/>
      <c r="E49" s="309"/>
      <c r="F49" s="309"/>
      <c r="G49" s="309"/>
      <c r="H49" s="309"/>
      <c r="I49" s="260"/>
    </row>
    <row r="50" spans="2:9" s="261" customFormat="1" x14ac:dyDescent="0.3">
      <c r="B50" s="311"/>
      <c r="C50" s="312"/>
      <c r="D50" s="259"/>
      <c r="E50" s="259"/>
      <c r="F50" s="259"/>
      <c r="G50" s="259"/>
      <c r="H50" s="259"/>
      <c r="I50" s="260"/>
    </row>
    <row r="51" spans="2:9" s="261" customFormat="1" x14ac:dyDescent="0.3">
      <c r="B51" s="311"/>
      <c r="C51" s="259"/>
      <c r="D51" s="259"/>
      <c r="E51" s="259"/>
      <c r="F51" s="259"/>
      <c r="G51" s="259"/>
      <c r="H51" s="259"/>
      <c r="I51" s="260"/>
    </row>
  </sheetData>
  <mergeCells count="13">
    <mergeCell ref="L2:L6"/>
    <mergeCell ref="M2:M6"/>
    <mergeCell ref="A2:A6"/>
    <mergeCell ref="B2:H5"/>
    <mergeCell ref="I2:I6"/>
    <mergeCell ref="J2:K5"/>
    <mergeCell ref="M7:M9"/>
    <mergeCell ref="A7:A9"/>
    <mergeCell ref="B7:H7"/>
    <mergeCell ref="I7:I9"/>
    <mergeCell ref="J7:J9"/>
    <mergeCell ref="K7:K9"/>
    <mergeCell ref="L7:L9"/>
  </mergeCells>
  <pageMargins left="0.7" right="0.7" top="0.75" bottom="0.75" header="0.3" footer="0.3"/>
  <pageSetup paperSize="9" scale="57" orientation="portrait" r:id="rId1"/>
  <rowBreaks count="1" manualBreakCount="1">
    <brk id="38" max="12" man="1"/>
  </rowBreaks>
  <colBreaks count="1" manualBreakCount="1">
    <brk id="13" max="56" man="1"/>
  </colBreaks>
  <customProperties>
    <customPr name="EpmWorksheetKeyString_GUI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0000"/>
  </sheetPr>
  <dimension ref="A1:Q43"/>
  <sheetViews>
    <sheetView workbookViewId="0">
      <selection activeCell="N31" activeCellId="1" sqref="M34 N31"/>
    </sheetView>
  </sheetViews>
  <sheetFormatPr defaultRowHeight="14.5" x14ac:dyDescent="0.35"/>
  <cols>
    <col min="1" max="1" width="45.1796875" customWidth="1"/>
  </cols>
  <sheetData>
    <row r="1" spans="1:17" x14ac:dyDescent="0.35">
      <c r="A1" s="566"/>
      <c r="B1" s="566"/>
      <c r="C1" s="566"/>
      <c r="D1" s="566"/>
      <c r="E1" s="566"/>
      <c r="F1" s="566"/>
      <c r="G1" s="566"/>
      <c r="H1" s="566"/>
      <c r="I1" s="566"/>
      <c r="J1" s="566"/>
      <c r="K1" s="566"/>
      <c r="L1" s="566"/>
      <c r="M1" s="566"/>
      <c r="N1" s="566"/>
      <c r="O1" s="566"/>
      <c r="P1" s="566"/>
      <c r="Q1" s="566"/>
    </row>
    <row r="2" spans="1:17" x14ac:dyDescent="0.35">
      <c r="A2" s="566"/>
      <c r="B2" s="566"/>
      <c r="C2" s="566"/>
      <c r="D2" s="566"/>
      <c r="E2" s="566"/>
      <c r="F2" s="566"/>
      <c r="G2" s="566"/>
      <c r="H2" s="566"/>
      <c r="I2" s="566"/>
      <c r="J2" s="566"/>
      <c r="K2" s="566"/>
      <c r="L2" s="566"/>
      <c r="M2" s="566"/>
      <c r="N2" s="566"/>
      <c r="O2" s="566"/>
      <c r="P2" s="566"/>
      <c r="Q2" s="566"/>
    </row>
    <row r="3" spans="1:17" x14ac:dyDescent="0.35">
      <c r="A3" s="566"/>
      <c r="B3" s="566"/>
      <c r="C3" s="566"/>
      <c r="D3" s="566"/>
      <c r="E3" s="566"/>
      <c r="F3" s="566"/>
      <c r="G3" s="566"/>
      <c r="H3" s="566"/>
      <c r="I3" s="566"/>
      <c r="J3" s="566"/>
      <c r="K3" s="566"/>
      <c r="L3" s="566"/>
      <c r="M3" s="566"/>
      <c r="N3" s="566"/>
      <c r="O3" s="566"/>
      <c r="P3" s="566"/>
      <c r="Q3" s="566"/>
    </row>
    <row r="4" spans="1:17" x14ac:dyDescent="0.35">
      <c r="A4" s="566"/>
      <c r="B4" s="566"/>
      <c r="C4" s="566"/>
      <c r="D4" s="566"/>
      <c r="E4" s="566"/>
      <c r="F4" s="566"/>
      <c r="G4" s="566"/>
      <c r="H4" s="566"/>
      <c r="I4" s="566"/>
      <c r="J4" s="566"/>
      <c r="K4" s="566"/>
      <c r="L4" s="566"/>
      <c r="M4" s="566"/>
      <c r="N4" s="566"/>
      <c r="O4" s="566"/>
      <c r="P4" s="566"/>
      <c r="Q4" s="566"/>
    </row>
    <row r="5" spans="1:17" ht="16" thickBot="1" x14ac:dyDescent="0.4">
      <c r="A5" s="1589" t="s">
        <v>558</v>
      </c>
      <c r="B5" s="1589"/>
      <c r="C5" s="1589"/>
      <c r="D5" s="1589"/>
      <c r="E5" s="1589"/>
      <c r="F5" s="1589"/>
      <c r="G5" s="1589"/>
      <c r="H5" s="1589"/>
      <c r="I5" s="1589"/>
      <c r="J5" s="1589"/>
      <c r="K5" s="1589"/>
      <c r="L5" s="566"/>
      <c r="M5" s="566"/>
      <c r="N5" s="566"/>
      <c r="O5" s="566"/>
      <c r="P5" s="566"/>
      <c r="Q5" s="566"/>
    </row>
    <row r="6" spans="1:17" ht="15" customHeight="1" x14ac:dyDescent="0.35">
      <c r="A6" s="1590" t="s">
        <v>108</v>
      </c>
      <c r="B6" s="1592" t="s">
        <v>109</v>
      </c>
      <c r="C6" s="1593"/>
      <c r="D6" s="1593"/>
      <c r="E6" s="1593"/>
      <c r="F6" s="725"/>
      <c r="G6" s="725"/>
      <c r="H6" s="1594" t="s">
        <v>159</v>
      </c>
      <c r="I6" s="1594" t="s">
        <v>53</v>
      </c>
      <c r="J6" s="1594" t="s">
        <v>53</v>
      </c>
      <c r="K6" s="1594" t="s">
        <v>54</v>
      </c>
      <c r="L6" s="566"/>
      <c r="M6" s="566"/>
      <c r="N6" s="566"/>
      <c r="O6" s="566"/>
      <c r="P6" s="566"/>
      <c r="Q6" s="566"/>
    </row>
    <row r="7" spans="1:17" ht="15" thickBot="1" x14ac:dyDescent="0.4">
      <c r="A7" s="1591"/>
      <c r="B7" s="591">
        <v>2014</v>
      </c>
      <c r="C7" s="592">
        <v>2015</v>
      </c>
      <c r="D7" s="592">
        <v>2016</v>
      </c>
      <c r="E7" s="592">
        <v>2017</v>
      </c>
      <c r="F7" s="588">
        <v>2018</v>
      </c>
      <c r="G7" s="588">
        <v>2019</v>
      </c>
      <c r="H7" s="1595"/>
      <c r="I7" s="1595"/>
      <c r="J7" s="1595"/>
      <c r="K7" s="1595"/>
      <c r="L7" s="566"/>
      <c r="M7" s="566"/>
      <c r="N7" s="566"/>
      <c r="O7" s="566"/>
      <c r="P7" s="566"/>
      <c r="Q7" s="566"/>
    </row>
    <row r="8" spans="1:17" ht="15" customHeight="1" x14ac:dyDescent="0.35">
      <c r="A8" s="612" t="s">
        <v>55</v>
      </c>
      <c r="B8" s="613"/>
      <c r="C8" s="613"/>
      <c r="D8" s="613"/>
      <c r="E8" s="613"/>
      <c r="F8" s="613"/>
      <c r="G8" s="613"/>
      <c r="H8" s="613">
        <v>1</v>
      </c>
      <c r="I8" s="610"/>
      <c r="J8" s="610"/>
      <c r="K8" s="610"/>
      <c r="L8" s="566"/>
      <c r="M8" s="566"/>
      <c r="N8" s="566"/>
      <c r="O8" s="566"/>
      <c r="P8" s="566"/>
      <c r="Q8" s="566"/>
    </row>
    <row r="9" spans="1:17" ht="15" customHeight="1" x14ac:dyDescent="0.35">
      <c r="A9" s="593" t="s">
        <v>110</v>
      </c>
      <c r="B9" s="628">
        <v>1</v>
      </c>
      <c r="C9" s="628">
        <v>1.8</v>
      </c>
      <c r="D9" s="594"/>
      <c r="E9" s="594"/>
      <c r="F9" s="594"/>
      <c r="G9" s="594"/>
      <c r="H9" s="594">
        <v>1</v>
      </c>
      <c r="I9" s="626">
        <v>30.9</v>
      </c>
      <c r="J9" s="626">
        <v>37.700000000000003</v>
      </c>
      <c r="K9" s="595">
        <v>6.8000000000000043</v>
      </c>
      <c r="L9" s="566"/>
      <c r="M9" s="566"/>
      <c r="N9" s="566"/>
      <c r="O9" s="566"/>
      <c r="P9" s="566"/>
      <c r="Q9" s="566"/>
    </row>
    <row r="10" spans="1:17" ht="15" customHeight="1" x14ac:dyDescent="0.35">
      <c r="A10" s="593" t="s">
        <v>111</v>
      </c>
      <c r="B10" s="628"/>
      <c r="C10" s="628">
        <v>2.83</v>
      </c>
      <c r="D10" s="594"/>
      <c r="E10" s="594"/>
      <c r="F10" s="594"/>
      <c r="G10" s="594"/>
      <c r="H10" s="594">
        <v>1</v>
      </c>
      <c r="I10" s="626">
        <v>50.3</v>
      </c>
      <c r="J10" s="626">
        <v>56.3</v>
      </c>
      <c r="K10" s="595">
        <v>6</v>
      </c>
      <c r="L10" s="566"/>
      <c r="M10" s="566"/>
      <c r="N10" s="566"/>
      <c r="O10" s="566"/>
      <c r="P10" s="566"/>
      <c r="Q10" s="566"/>
    </row>
    <row r="11" spans="1:17" ht="15" customHeight="1" x14ac:dyDescent="0.35">
      <c r="A11" s="593" t="s">
        <v>112</v>
      </c>
      <c r="B11" s="628">
        <v>1</v>
      </c>
      <c r="C11" s="628"/>
      <c r="D11" s="594"/>
      <c r="E11" s="594"/>
      <c r="F11" s="594"/>
      <c r="G11" s="594"/>
      <c r="H11" s="594">
        <v>1</v>
      </c>
      <c r="I11" s="626">
        <v>61.8</v>
      </c>
      <c r="J11" s="626">
        <v>65</v>
      </c>
      <c r="K11" s="595">
        <v>3.2000000000000028</v>
      </c>
      <c r="L11" s="566"/>
      <c r="M11" s="566"/>
      <c r="N11" s="566"/>
      <c r="O11" s="566"/>
      <c r="P11" s="566"/>
      <c r="Q11" s="566"/>
    </row>
    <row r="12" spans="1:17" ht="15" customHeight="1" x14ac:dyDescent="0.35">
      <c r="A12" s="614" t="s">
        <v>64</v>
      </c>
      <c r="B12" s="601"/>
      <c r="C12" s="601"/>
      <c r="D12" s="615"/>
      <c r="E12" s="615"/>
      <c r="F12" s="615"/>
      <c r="G12" s="615"/>
      <c r="H12" s="615">
        <v>2</v>
      </c>
      <c r="I12" s="596"/>
      <c r="J12" s="596"/>
      <c r="K12" s="596"/>
      <c r="L12" s="566"/>
      <c r="M12" s="566"/>
      <c r="N12" s="566"/>
      <c r="O12" s="566"/>
      <c r="P12" s="566"/>
      <c r="Q12" s="566"/>
    </row>
    <row r="13" spans="1:17" ht="15" customHeight="1" x14ac:dyDescent="0.35">
      <c r="A13" s="629" t="s">
        <v>128</v>
      </c>
      <c r="B13" s="628"/>
      <c r="C13" s="628">
        <v>4</v>
      </c>
      <c r="D13" s="616">
        <v>4.32</v>
      </c>
      <c r="E13" s="616"/>
      <c r="F13" s="616"/>
      <c r="G13" s="616"/>
      <c r="H13" s="616">
        <v>2</v>
      </c>
      <c r="I13" s="595">
        <v>5.5</v>
      </c>
      <c r="J13" s="626">
        <v>12.6</v>
      </c>
      <c r="K13" s="595">
        <v>7.1</v>
      </c>
      <c r="L13" s="566"/>
      <c r="M13" s="566"/>
      <c r="N13" s="566"/>
      <c r="O13" s="566"/>
      <c r="P13" s="566"/>
      <c r="Q13" s="566"/>
    </row>
    <row r="14" spans="1:17" ht="15" customHeight="1" x14ac:dyDescent="0.35">
      <c r="A14" s="629" t="s">
        <v>561</v>
      </c>
      <c r="B14" s="628"/>
      <c r="C14" s="628"/>
      <c r="D14" s="616"/>
      <c r="E14" s="616"/>
      <c r="F14" s="616"/>
      <c r="G14" s="616">
        <v>10</v>
      </c>
      <c r="H14" s="616">
        <v>2</v>
      </c>
      <c r="I14" s="595">
        <v>12.6</v>
      </c>
      <c r="J14" s="626">
        <v>20</v>
      </c>
      <c r="K14" s="595">
        <v>7.4</v>
      </c>
      <c r="L14" s="566"/>
      <c r="M14" s="566"/>
      <c r="N14" s="566"/>
      <c r="O14" s="566"/>
      <c r="P14" s="566"/>
      <c r="Q14" s="566"/>
    </row>
    <row r="15" spans="1:17" ht="15" customHeight="1" x14ac:dyDescent="0.35">
      <c r="A15" s="614" t="s">
        <v>76</v>
      </c>
      <c r="B15" s="601"/>
      <c r="C15" s="601"/>
      <c r="D15" s="615"/>
      <c r="E15" s="615"/>
      <c r="F15" s="615"/>
      <c r="G15" s="615"/>
      <c r="H15" s="615">
        <v>3</v>
      </c>
      <c r="I15" s="597"/>
      <c r="J15" s="597"/>
      <c r="K15" s="597"/>
      <c r="L15" s="566"/>
      <c r="M15" s="566"/>
      <c r="N15" s="566"/>
      <c r="O15" s="566"/>
      <c r="P15" s="566"/>
      <c r="Q15" s="566"/>
    </row>
    <row r="16" spans="1:17" ht="15" customHeight="1" x14ac:dyDescent="0.35">
      <c r="A16" s="593" t="s">
        <v>113</v>
      </c>
      <c r="B16" s="628"/>
      <c r="C16" s="599">
        <v>0.5</v>
      </c>
      <c r="D16" s="627">
        <v>1.88</v>
      </c>
      <c r="E16" s="627"/>
      <c r="F16" s="627"/>
      <c r="G16" s="627"/>
      <c r="H16" s="627">
        <v>3</v>
      </c>
      <c r="I16" s="595">
        <v>3.5</v>
      </c>
      <c r="J16" s="595">
        <v>8.3000000000000007</v>
      </c>
      <c r="K16" s="595">
        <v>4.8000000000000007</v>
      </c>
      <c r="L16" s="566"/>
      <c r="M16" s="566"/>
      <c r="N16" s="566"/>
      <c r="O16" s="566"/>
      <c r="P16" s="566"/>
      <c r="Q16" s="566"/>
    </row>
    <row r="17" spans="1:17" ht="15" customHeight="1" x14ac:dyDescent="0.35">
      <c r="A17" s="593" t="s">
        <v>156</v>
      </c>
      <c r="B17" s="628">
        <v>1.55</v>
      </c>
      <c r="C17" s="628"/>
      <c r="D17" s="598"/>
      <c r="E17" s="598"/>
      <c r="F17" s="598"/>
      <c r="G17" s="598"/>
      <c r="H17" s="598">
        <v>3</v>
      </c>
      <c r="I17" s="595">
        <v>61.2</v>
      </c>
      <c r="J17" s="595">
        <v>67.099999999999994</v>
      </c>
      <c r="K17" s="595">
        <v>5.8999999999999915</v>
      </c>
      <c r="L17" s="566"/>
      <c r="M17" s="566"/>
      <c r="N17" s="566"/>
      <c r="O17" s="566"/>
      <c r="P17" s="566"/>
      <c r="Q17" s="566"/>
    </row>
    <row r="18" spans="1:17" ht="15" customHeight="1" x14ac:dyDescent="0.35">
      <c r="A18" s="593" t="s">
        <v>114</v>
      </c>
      <c r="B18" s="599"/>
      <c r="C18" s="617">
        <v>5.03</v>
      </c>
      <c r="D18" s="627"/>
      <c r="E18" s="627"/>
      <c r="F18" s="627"/>
      <c r="G18" s="627"/>
      <c r="H18" s="627">
        <v>3</v>
      </c>
      <c r="I18" s="626">
        <v>146</v>
      </c>
      <c r="J18" s="626">
        <v>159.19999999999999</v>
      </c>
      <c r="K18" s="595">
        <v>13.199999999999989</v>
      </c>
      <c r="L18" s="566"/>
      <c r="M18" s="566"/>
      <c r="N18" s="566"/>
      <c r="O18" s="566"/>
      <c r="P18" s="566"/>
      <c r="Q18" s="566"/>
    </row>
    <row r="19" spans="1:17" ht="15" customHeight="1" x14ac:dyDescent="0.35">
      <c r="A19" s="593" t="s">
        <v>115</v>
      </c>
      <c r="B19" s="618"/>
      <c r="C19" s="611"/>
      <c r="D19" s="598">
        <v>2.88</v>
      </c>
      <c r="E19" s="598"/>
      <c r="F19" s="598"/>
      <c r="G19" s="598"/>
      <c r="H19" s="598">
        <v>3</v>
      </c>
      <c r="I19" s="595">
        <v>67.099999999999994</v>
      </c>
      <c r="J19" s="595">
        <v>75.3</v>
      </c>
      <c r="K19" s="595">
        <v>8.2000000000000028</v>
      </c>
      <c r="L19" s="566"/>
      <c r="M19" s="566"/>
      <c r="N19" s="566"/>
      <c r="O19" s="566"/>
      <c r="P19" s="566"/>
      <c r="Q19" s="566"/>
    </row>
    <row r="20" spans="1:17" ht="15" customHeight="1" x14ac:dyDescent="0.35">
      <c r="A20" s="593" t="s">
        <v>116</v>
      </c>
      <c r="B20" s="599"/>
      <c r="C20" s="611">
        <v>2.62</v>
      </c>
      <c r="D20" s="594"/>
      <c r="E20" s="594"/>
      <c r="F20" s="594"/>
      <c r="G20" s="594"/>
      <c r="H20" s="594">
        <v>3</v>
      </c>
      <c r="I20" s="595">
        <v>109.6</v>
      </c>
      <c r="J20" s="595">
        <v>118.9</v>
      </c>
      <c r="K20" s="595">
        <v>9.3000000000000114</v>
      </c>
      <c r="L20" s="566"/>
      <c r="M20" s="566"/>
      <c r="N20" s="566"/>
      <c r="O20" s="566"/>
      <c r="P20" s="566"/>
      <c r="Q20" s="566"/>
    </row>
    <row r="21" spans="1:17" ht="15" customHeight="1" x14ac:dyDescent="0.35">
      <c r="A21" s="614" t="s">
        <v>572</v>
      </c>
      <c r="B21" s="601"/>
      <c r="C21" s="601"/>
      <c r="D21" s="615"/>
      <c r="E21" s="615"/>
      <c r="F21" s="615"/>
      <c r="G21" s="615"/>
      <c r="H21" s="615">
        <v>4</v>
      </c>
      <c r="I21" s="596"/>
      <c r="J21" s="596"/>
      <c r="K21" s="596"/>
      <c r="L21" s="566"/>
      <c r="M21" s="566"/>
      <c r="N21" s="566"/>
      <c r="O21" s="566"/>
      <c r="P21" s="566"/>
      <c r="Q21" s="566"/>
    </row>
    <row r="22" spans="1:17" ht="15" customHeight="1" x14ac:dyDescent="0.35">
      <c r="A22" s="593" t="s">
        <v>571</v>
      </c>
      <c r="B22" s="599"/>
      <c r="C22" s="611"/>
      <c r="D22" s="726">
        <v>0.43</v>
      </c>
      <c r="E22" s="594"/>
      <c r="F22" s="594"/>
      <c r="G22" s="594"/>
      <c r="H22" s="594">
        <v>4</v>
      </c>
      <c r="I22" s="626">
        <v>39.299999999999997</v>
      </c>
      <c r="J22" s="626">
        <v>40.018000000000001</v>
      </c>
      <c r="K22" s="626">
        <v>0.71799999999999997</v>
      </c>
      <c r="L22" s="566"/>
      <c r="M22" s="566" t="s">
        <v>573</v>
      </c>
      <c r="N22" s="566"/>
      <c r="O22" s="566"/>
      <c r="P22" s="566"/>
      <c r="Q22" s="566"/>
    </row>
    <row r="23" spans="1:17" ht="15" customHeight="1" x14ac:dyDescent="0.35">
      <c r="A23" s="614" t="s">
        <v>87</v>
      </c>
      <c r="B23" s="601"/>
      <c r="C23" s="601"/>
      <c r="D23" s="615"/>
      <c r="E23" s="615"/>
      <c r="F23" s="615"/>
      <c r="G23" s="615"/>
      <c r="H23" s="615">
        <v>5</v>
      </c>
      <c r="I23" s="596"/>
      <c r="J23" s="596"/>
      <c r="K23" s="596"/>
      <c r="L23" s="566"/>
      <c r="M23" s="566"/>
      <c r="N23" s="566"/>
      <c r="O23" s="566"/>
      <c r="P23" s="566"/>
      <c r="Q23" s="566"/>
    </row>
    <row r="24" spans="1:17" ht="15" customHeight="1" x14ac:dyDescent="0.35">
      <c r="A24" s="625" t="s">
        <v>560</v>
      </c>
      <c r="B24" s="628"/>
      <c r="C24" s="628"/>
      <c r="D24" s="627"/>
      <c r="E24" s="628">
        <v>1</v>
      </c>
      <c r="F24" s="628">
        <v>3.66</v>
      </c>
      <c r="G24" s="627"/>
      <c r="H24" s="627">
        <v>5</v>
      </c>
      <c r="I24" s="626">
        <v>16.2</v>
      </c>
      <c r="J24" s="626">
        <v>28.231000000000002</v>
      </c>
      <c r="K24" s="626">
        <v>12.11</v>
      </c>
      <c r="L24" s="566"/>
      <c r="M24" s="566"/>
      <c r="N24" s="566"/>
      <c r="O24" s="566"/>
      <c r="P24" s="566"/>
      <c r="Q24" s="566"/>
    </row>
    <row r="25" spans="1:17" ht="15" customHeight="1" x14ac:dyDescent="0.35">
      <c r="A25" s="593" t="s">
        <v>117</v>
      </c>
      <c r="B25" s="628"/>
      <c r="C25" s="628"/>
      <c r="D25" s="627">
        <v>2.2999999999999998</v>
      </c>
      <c r="E25" s="627"/>
      <c r="F25" s="627"/>
      <c r="G25" s="627"/>
      <c r="H25" s="627">
        <v>5</v>
      </c>
      <c r="I25" s="595">
        <v>28.2</v>
      </c>
      <c r="J25" s="595">
        <v>35.799999999999997</v>
      </c>
      <c r="K25" s="595">
        <v>7.5999999999999979</v>
      </c>
      <c r="L25" s="566"/>
      <c r="M25" s="566"/>
      <c r="N25" s="566"/>
      <c r="O25" s="566"/>
      <c r="P25" s="566"/>
      <c r="Q25" s="566"/>
    </row>
    <row r="26" spans="1:17" ht="15" customHeight="1" x14ac:dyDescent="0.35">
      <c r="A26" s="593" t="s">
        <v>118</v>
      </c>
      <c r="B26" s="628"/>
      <c r="C26" s="628">
        <v>3.63</v>
      </c>
      <c r="D26" s="619"/>
      <c r="E26" s="619"/>
      <c r="F26" s="619"/>
      <c r="G26" s="619"/>
      <c r="H26" s="622">
        <v>5</v>
      </c>
      <c r="I26" s="595">
        <v>48.5</v>
      </c>
      <c r="J26" s="595">
        <v>61.7</v>
      </c>
      <c r="K26" s="595">
        <v>13.200000000000003</v>
      </c>
      <c r="L26" s="566"/>
      <c r="M26" s="566"/>
      <c r="N26" s="566"/>
      <c r="O26" s="566"/>
      <c r="P26" s="566"/>
      <c r="Q26" s="566"/>
    </row>
    <row r="27" spans="1:17" ht="15" customHeight="1" x14ac:dyDescent="0.35">
      <c r="A27" s="593" t="s">
        <v>119</v>
      </c>
      <c r="B27" s="628"/>
      <c r="C27" s="600"/>
      <c r="E27" s="624">
        <v>3.1499999999999986</v>
      </c>
      <c r="F27" s="619"/>
      <c r="G27" s="619"/>
      <c r="H27" s="622">
        <v>5</v>
      </c>
      <c r="I27" s="595">
        <v>87.8</v>
      </c>
      <c r="J27" s="595">
        <v>94.1</v>
      </c>
      <c r="K27" s="595">
        <v>6.2999999999999972</v>
      </c>
      <c r="L27" s="566"/>
      <c r="M27" s="566"/>
      <c r="N27" s="566"/>
      <c r="O27" s="566"/>
      <c r="P27" s="566"/>
      <c r="Q27" s="566"/>
    </row>
    <row r="28" spans="1:17" ht="15" customHeight="1" x14ac:dyDescent="0.35">
      <c r="A28" s="593" t="s">
        <v>120</v>
      </c>
      <c r="B28" s="599">
        <v>0.3</v>
      </c>
      <c r="C28" s="600">
        <v>2.2999999999999998</v>
      </c>
      <c r="D28" s="627"/>
      <c r="E28" s="627"/>
      <c r="F28" s="627"/>
      <c r="G28" s="627"/>
      <c r="H28" s="627">
        <v>5</v>
      </c>
      <c r="I28" s="595">
        <v>110.8</v>
      </c>
      <c r="J28" s="595">
        <v>120.7</v>
      </c>
      <c r="K28" s="595">
        <v>9.9000000000000057</v>
      </c>
      <c r="L28" s="566"/>
      <c r="M28" s="566"/>
      <c r="N28" s="566"/>
      <c r="O28" s="566"/>
      <c r="P28" s="566"/>
      <c r="Q28" s="566"/>
    </row>
    <row r="29" spans="1:17" ht="15" customHeight="1" x14ac:dyDescent="0.35">
      <c r="A29" s="614" t="s">
        <v>90</v>
      </c>
      <c r="B29" s="601"/>
      <c r="C29" s="601"/>
      <c r="D29" s="615"/>
      <c r="E29" s="615"/>
      <c r="F29" s="615"/>
      <c r="G29" s="615"/>
      <c r="H29" s="615">
        <v>8</v>
      </c>
      <c r="I29" s="596"/>
      <c r="J29" s="596"/>
      <c r="K29" s="596"/>
      <c r="L29" s="566"/>
      <c r="M29" s="566"/>
      <c r="N29" s="566"/>
      <c r="O29" s="566"/>
      <c r="P29" s="566"/>
      <c r="Q29" s="566"/>
    </row>
    <row r="30" spans="1:17" ht="15" customHeight="1" x14ac:dyDescent="0.35">
      <c r="A30" s="593" t="s">
        <v>121</v>
      </c>
      <c r="B30" s="602">
        <v>1.5</v>
      </c>
      <c r="C30" s="602">
        <v>1.17</v>
      </c>
      <c r="D30" s="603"/>
      <c r="E30" s="603"/>
      <c r="F30" s="603"/>
      <c r="G30" s="603"/>
      <c r="H30" s="603">
        <v>8</v>
      </c>
      <c r="I30" s="595">
        <v>29.4</v>
      </c>
      <c r="J30" s="595">
        <v>37.4</v>
      </c>
      <c r="K30" s="595">
        <v>8</v>
      </c>
      <c r="L30" s="566"/>
      <c r="M30" s="566"/>
      <c r="N30" s="566"/>
      <c r="O30" s="566"/>
      <c r="P30" s="566"/>
      <c r="Q30" s="566"/>
    </row>
    <row r="31" spans="1:17" ht="15" customHeight="1" x14ac:dyDescent="0.35">
      <c r="A31" s="593" t="s">
        <v>121</v>
      </c>
      <c r="B31" s="602">
        <v>0.5</v>
      </c>
      <c r="C31" s="602">
        <v>2.31</v>
      </c>
      <c r="D31" s="603"/>
      <c r="E31" s="603"/>
      <c r="F31" s="603"/>
      <c r="G31" s="603"/>
      <c r="H31" s="603">
        <v>8</v>
      </c>
      <c r="I31" s="595">
        <v>37.4</v>
      </c>
      <c r="J31" s="595">
        <v>46.8</v>
      </c>
      <c r="K31" s="595">
        <v>9.3999999999999986</v>
      </c>
      <c r="L31" s="566"/>
      <c r="M31" s="566"/>
      <c r="N31" s="566"/>
      <c r="O31" s="566"/>
      <c r="P31" s="566"/>
      <c r="Q31" s="566"/>
    </row>
    <row r="32" spans="1:17" ht="15" customHeight="1" x14ac:dyDescent="0.35">
      <c r="A32" s="593" t="s">
        <v>122</v>
      </c>
      <c r="B32" s="602">
        <v>2.4300000000000002</v>
      </c>
      <c r="C32" s="599"/>
      <c r="D32" s="603"/>
      <c r="E32" s="603"/>
      <c r="F32" s="603"/>
      <c r="G32" s="603"/>
      <c r="H32" s="603">
        <v>8</v>
      </c>
      <c r="I32" s="595">
        <v>18</v>
      </c>
      <c r="J32" s="595">
        <v>25.1</v>
      </c>
      <c r="K32" s="595">
        <v>7.1000000000000014</v>
      </c>
      <c r="L32" s="566"/>
      <c r="M32" s="566"/>
      <c r="N32" s="566"/>
      <c r="O32" s="566"/>
      <c r="P32" s="566"/>
      <c r="Q32" s="566"/>
    </row>
    <row r="33" spans="1:17" ht="15" customHeight="1" x14ac:dyDescent="0.35">
      <c r="A33" s="614" t="s">
        <v>92</v>
      </c>
      <c r="B33" s="601"/>
      <c r="C33" s="601"/>
      <c r="D33" s="615"/>
      <c r="E33" s="615"/>
      <c r="F33" s="615"/>
      <c r="G33" s="615"/>
      <c r="H33" s="615">
        <v>9</v>
      </c>
      <c r="I33" s="596"/>
      <c r="J33" s="596"/>
      <c r="K33" s="596"/>
      <c r="L33" s="566"/>
      <c r="M33" s="566"/>
      <c r="N33" s="566"/>
      <c r="O33" s="566"/>
      <c r="P33" s="566"/>
      <c r="Q33" s="566"/>
    </row>
    <row r="34" spans="1:17" ht="15" customHeight="1" x14ac:dyDescent="0.35">
      <c r="A34" s="604" t="s">
        <v>123</v>
      </c>
      <c r="B34" s="605"/>
      <c r="C34" s="605">
        <v>3.72</v>
      </c>
      <c r="D34" s="590"/>
      <c r="E34" s="590"/>
      <c r="F34" s="590"/>
      <c r="G34" s="590"/>
      <c r="H34" s="590">
        <v>9</v>
      </c>
      <c r="I34" s="606">
        <v>0</v>
      </c>
      <c r="J34" s="606">
        <v>18.3</v>
      </c>
      <c r="K34" s="606">
        <v>18.3</v>
      </c>
      <c r="L34" s="566"/>
      <c r="M34" s="566"/>
      <c r="N34" s="566"/>
      <c r="O34" s="566"/>
      <c r="P34" s="566"/>
      <c r="Q34" s="566"/>
    </row>
    <row r="35" spans="1:17" ht="15" customHeight="1" x14ac:dyDescent="0.35">
      <c r="A35" s="630" t="s">
        <v>124</v>
      </c>
      <c r="B35" s="607">
        <v>2.87</v>
      </c>
      <c r="C35" s="608"/>
      <c r="D35" s="589"/>
      <c r="E35" s="589"/>
      <c r="F35" s="589"/>
      <c r="G35" s="589"/>
      <c r="H35" s="589">
        <v>9</v>
      </c>
      <c r="I35" s="595">
        <v>38.9</v>
      </c>
      <c r="J35" s="595">
        <v>49.4</v>
      </c>
      <c r="K35" s="595">
        <v>10.5</v>
      </c>
      <c r="L35" s="566"/>
      <c r="M35" s="566"/>
      <c r="N35" s="566"/>
      <c r="O35" s="566"/>
      <c r="P35" s="566"/>
      <c r="Q35" s="566"/>
    </row>
    <row r="36" spans="1:17" ht="15" customHeight="1" x14ac:dyDescent="0.35">
      <c r="A36" s="614" t="s">
        <v>93</v>
      </c>
      <c r="B36" s="601"/>
      <c r="C36" s="601"/>
      <c r="D36" s="615"/>
      <c r="E36" s="615"/>
      <c r="F36" s="615"/>
      <c r="G36" s="615"/>
      <c r="H36" s="615">
        <v>10</v>
      </c>
      <c r="I36" s="615"/>
      <c r="J36" s="615"/>
      <c r="K36" s="615"/>
      <c r="L36" s="566"/>
      <c r="M36" s="566"/>
      <c r="N36" s="566"/>
      <c r="O36" s="566"/>
      <c r="P36" s="566"/>
      <c r="Q36" s="566"/>
    </row>
    <row r="37" spans="1:17" ht="15" customHeight="1" x14ac:dyDescent="0.35">
      <c r="A37" s="604" t="s">
        <v>125</v>
      </c>
      <c r="B37" s="605"/>
      <c r="C37" s="605">
        <v>2.76</v>
      </c>
      <c r="D37" s="623"/>
      <c r="E37" s="623"/>
      <c r="F37" s="623"/>
      <c r="G37" s="623"/>
      <c r="H37" s="623">
        <v>10</v>
      </c>
      <c r="I37" s="606">
        <v>21</v>
      </c>
      <c r="J37" s="606">
        <v>29</v>
      </c>
      <c r="K37" s="606">
        <v>8</v>
      </c>
      <c r="L37" s="566"/>
      <c r="M37" s="566"/>
      <c r="N37" s="566"/>
      <c r="O37" s="566"/>
      <c r="P37" s="566"/>
      <c r="Q37" s="566"/>
    </row>
    <row r="38" spans="1:17" ht="15" customHeight="1" x14ac:dyDescent="0.35">
      <c r="A38" s="630" t="s">
        <v>562</v>
      </c>
      <c r="B38" s="628"/>
      <c r="C38" s="628"/>
      <c r="D38" s="595"/>
      <c r="E38" s="595">
        <v>3.3</v>
      </c>
      <c r="F38" s="595"/>
      <c r="G38" s="594"/>
      <c r="H38" s="594">
        <v>10</v>
      </c>
      <c r="I38" s="595">
        <v>56.481000000000002</v>
      </c>
      <c r="J38" s="595">
        <v>64.962000000000003</v>
      </c>
      <c r="K38" s="595">
        <v>8.4809999999999999</v>
      </c>
      <c r="L38" s="566"/>
      <c r="M38" s="566"/>
      <c r="N38" s="566"/>
      <c r="O38" s="566"/>
      <c r="P38" s="566"/>
      <c r="Q38" s="566"/>
    </row>
    <row r="39" spans="1:17" ht="15" customHeight="1" thickBot="1" x14ac:dyDescent="0.4">
      <c r="A39" s="720" t="s">
        <v>563</v>
      </c>
      <c r="B39" s="721"/>
      <c r="C39" s="721"/>
      <c r="D39" s="722">
        <v>3.07</v>
      </c>
      <c r="E39" s="722"/>
      <c r="F39" s="723"/>
      <c r="G39" s="723"/>
      <c r="H39" s="723">
        <v>10</v>
      </c>
      <c r="I39" s="722">
        <v>129.208</v>
      </c>
      <c r="J39" s="722">
        <v>141.4</v>
      </c>
      <c r="K39" s="724">
        <v>12.192000000000007</v>
      </c>
      <c r="L39" s="566"/>
      <c r="M39" s="566" t="s">
        <v>574</v>
      </c>
      <c r="N39" s="566"/>
      <c r="O39" s="566"/>
      <c r="P39" s="566"/>
      <c r="Q39" s="566"/>
    </row>
    <row r="40" spans="1:17" ht="15" customHeight="1" x14ac:dyDescent="0.35">
      <c r="A40" s="587" t="s">
        <v>126</v>
      </c>
      <c r="B40" s="718">
        <f>SUM(B8:B39)</f>
        <v>11.149999999999999</v>
      </c>
      <c r="C40" s="718">
        <f t="shared" ref="C40:G40" si="0">SUM(C8:C39)</f>
        <v>32.67</v>
      </c>
      <c r="D40" s="718">
        <f t="shared" si="0"/>
        <v>14.879999999999999</v>
      </c>
      <c r="E40" s="718">
        <f t="shared" si="0"/>
        <v>7.4499999999999984</v>
      </c>
      <c r="F40" s="718">
        <f t="shared" si="0"/>
        <v>3.66</v>
      </c>
      <c r="G40" s="718">
        <f t="shared" si="0"/>
        <v>10</v>
      </c>
      <c r="H40" s="586"/>
      <c r="I40" s="713"/>
      <c r="J40" s="713"/>
      <c r="K40" s="719">
        <v>202.983</v>
      </c>
      <c r="L40" s="566"/>
      <c r="M40" s="566"/>
      <c r="N40" s="566"/>
      <c r="O40" s="566"/>
      <c r="P40" s="566"/>
      <c r="Q40" s="566"/>
    </row>
    <row r="41" spans="1:17" ht="15" thickBot="1" x14ac:dyDescent="0.4">
      <c r="A41" s="714" t="s">
        <v>127</v>
      </c>
      <c r="B41" s="715">
        <v>9.4774999999999991</v>
      </c>
      <c r="C41" s="715">
        <v>27.769500000000001</v>
      </c>
      <c r="D41" s="715">
        <v>12.350499999999998</v>
      </c>
      <c r="E41" s="715">
        <v>0</v>
      </c>
      <c r="F41" s="715"/>
      <c r="G41" s="715"/>
      <c r="H41" s="715"/>
      <c r="I41" s="716"/>
      <c r="J41" s="716"/>
      <c r="K41" s="717">
        <v>162.80000000000001</v>
      </c>
      <c r="L41" s="566"/>
      <c r="M41" s="566"/>
      <c r="N41" s="566"/>
      <c r="O41" s="566"/>
      <c r="P41" s="566"/>
      <c r="Q41" s="566"/>
    </row>
    <row r="42" spans="1:17" x14ac:dyDescent="0.35">
      <c r="A42" s="631" t="s">
        <v>559</v>
      </c>
      <c r="B42" s="566"/>
      <c r="C42" s="566"/>
      <c r="D42" s="583">
        <f>D40-D41</f>
        <v>2.5295000000000005</v>
      </c>
      <c r="E42" s="566"/>
      <c r="F42" s="566"/>
      <c r="G42" s="566"/>
      <c r="H42" s="566"/>
      <c r="I42" s="566"/>
      <c r="J42" s="566"/>
      <c r="K42" s="566"/>
      <c r="L42" s="566"/>
      <c r="M42" s="566"/>
      <c r="N42" s="566"/>
      <c r="O42" s="566"/>
      <c r="P42" s="566"/>
      <c r="Q42" s="566"/>
    </row>
    <row r="43" spans="1:17" x14ac:dyDescent="0.35">
      <c r="A43" s="566"/>
      <c r="B43" s="566"/>
      <c r="C43" s="566"/>
      <c r="D43" s="566"/>
      <c r="E43" s="566"/>
      <c r="F43" s="566"/>
      <c r="G43" s="566"/>
      <c r="H43" s="566"/>
      <c r="I43" s="566"/>
      <c r="J43" s="566"/>
      <c r="K43" s="566"/>
      <c r="L43" s="566"/>
      <c r="M43" s="566"/>
      <c r="N43" s="566"/>
      <c r="O43" s="566"/>
      <c r="P43" s="566"/>
      <c r="Q43" s="566"/>
    </row>
  </sheetData>
  <mergeCells count="7">
    <mergeCell ref="A5:K5"/>
    <mergeCell ref="A6:A7"/>
    <mergeCell ref="B6:E6"/>
    <mergeCell ref="I6:I7"/>
    <mergeCell ref="J6:J7"/>
    <mergeCell ref="K6:K7"/>
    <mergeCell ref="H6:H7"/>
  </mergeCells>
  <pageMargins left="0.7" right="0.7" top="0.75" bottom="0.75" header="0.3" footer="0.3"/>
  <customProperties>
    <customPr name="EpmWorksheetKeyString_GUID" r:id="rId1"/>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J32"/>
  <sheetViews>
    <sheetView topLeftCell="A4" zoomScaleNormal="100" workbookViewId="0">
      <selection activeCell="N31" activeCellId="1" sqref="M34 N31"/>
    </sheetView>
  </sheetViews>
  <sheetFormatPr defaultColWidth="8.7265625" defaultRowHeight="14.5" x14ac:dyDescent="0.35"/>
  <cols>
    <col min="1" max="1" width="32.1796875" style="566" customWidth="1"/>
    <col min="2" max="2" width="7.1796875" style="566" customWidth="1"/>
    <col min="3" max="3" width="7.54296875" style="566" customWidth="1"/>
    <col min="4" max="4" width="6.54296875" style="566" customWidth="1"/>
    <col min="5" max="6" width="5.81640625" style="566" customWidth="1"/>
    <col min="7" max="16384" width="8.7265625" style="566"/>
  </cols>
  <sheetData>
    <row r="1" spans="1:9" ht="16" thickBot="1" x14ac:dyDescent="0.4">
      <c r="A1" s="1589" t="s">
        <v>155</v>
      </c>
      <c r="B1" s="1589"/>
      <c r="C1" s="1589"/>
      <c r="D1" s="1589"/>
      <c r="E1" s="1589"/>
      <c r="F1" s="1589"/>
      <c r="G1" s="1589"/>
      <c r="H1" s="1589"/>
      <c r="I1" s="1589"/>
    </row>
    <row r="2" spans="1:9" ht="24.65" customHeight="1" x14ac:dyDescent="0.35">
      <c r="A2" s="1590" t="s">
        <v>108</v>
      </c>
      <c r="B2" s="1592" t="s">
        <v>109</v>
      </c>
      <c r="C2" s="1593"/>
      <c r="D2" s="1593"/>
      <c r="E2" s="1593"/>
      <c r="F2" s="1594" t="s">
        <v>159</v>
      </c>
      <c r="G2" s="1594" t="s">
        <v>53</v>
      </c>
      <c r="H2" s="1594" t="s">
        <v>53</v>
      </c>
      <c r="I2" s="1594" t="s">
        <v>54</v>
      </c>
    </row>
    <row r="3" spans="1:9" ht="15" thickBot="1" x14ac:dyDescent="0.4">
      <c r="A3" s="1591"/>
      <c r="B3" s="66">
        <v>2014</v>
      </c>
      <c r="C3" s="67">
        <v>2015</v>
      </c>
      <c r="D3" s="67">
        <v>2016</v>
      </c>
      <c r="E3" s="67">
        <v>2017</v>
      </c>
      <c r="F3" s="1595"/>
      <c r="G3" s="1595"/>
      <c r="H3" s="1595"/>
      <c r="I3" s="1595"/>
    </row>
    <row r="4" spans="1:9" x14ac:dyDescent="0.35">
      <c r="A4" s="175" t="s">
        <v>55</v>
      </c>
      <c r="B4" s="176"/>
      <c r="C4" s="176"/>
      <c r="D4" s="176"/>
      <c r="E4" s="176"/>
      <c r="F4" s="176">
        <v>1</v>
      </c>
      <c r="G4" s="146"/>
      <c r="H4" s="146"/>
      <c r="I4" s="146"/>
    </row>
    <row r="5" spans="1:9" x14ac:dyDescent="0.35">
      <c r="A5" s="68" t="s">
        <v>110</v>
      </c>
      <c r="B5" s="69">
        <v>1</v>
      </c>
      <c r="C5" s="69">
        <v>1.8</v>
      </c>
      <c r="D5" s="70"/>
      <c r="E5" s="70"/>
      <c r="F5" s="70">
        <f>F4</f>
        <v>1</v>
      </c>
      <c r="G5" s="57">
        <v>30.9</v>
      </c>
      <c r="H5" s="57">
        <v>37.700000000000003</v>
      </c>
      <c r="I5" s="71">
        <f>H5-G5</f>
        <v>6.8000000000000043</v>
      </c>
    </row>
    <row r="6" spans="1:9" x14ac:dyDescent="0.35">
      <c r="A6" s="68" t="s">
        <v>111</v>
      </c>
      <c r="B6" s="69"/>
      <c r="C6" s="69">
        <v>2.83</v>
      </c>
      <c r="D6" s="70"/>
      <c r="E6" s="70"/>
      <c r="F6" s="70">
        <f t="shared" ref="F6:F29" si="0">F5</f>
        <v>1</v>
      </c>
      <c r="G6" s="57">
        <v>50.3</v>
      </c>
      <c r="H6" s="57">
        <v>56.3</v>
      </c>
      <c r="I6" s="71">
        <f>H6-G6</f>
        <v>6</v>
      </c>
    </row>
    <row r="7" spans="1:9" x14ac:dyDescent="0.35">
      <c r="A7" s="68" t="s">
        <v>112</v>
      </c>
      <c r="B7" s="69">
        <v>1</v>
      </c>
      <c r="C7" s="69"/>
      <c r="D7" s="70"/>
      <c r="E7" s="70"/>
      <c r="F7" s="70">
        <f t="shared" si="0"/>
        <v>1</v>
      </c>
      <c r="G7" s="57">
        <v>61.8</v>
      </c>
      <c r="H7" s="57">
        <v>65</v>
      </c>
      <c r="I7" s="71">
        <f>H7-G7</f>
        <v>3.2000000000000028</v>
      </c>
    </row>
    <row r="8" spans="1:9" ht="24.5" x14ac:dyDescent="0.35">
      <c r="A8" s="177" t="s">
        <v>64</v>
      </c>
      <c r="B8" s="77"/>
      <c r="C8" s="77"/>
      <c r="D8" s="178"/>
      <c r="E8" s="178"/>
      <c r="F8" s="178">
        <v>2</v>
      </c>
      <c r="G8" s="72"/>
      <c r="H8" s="72"/>
      <c r="I8" s="72"/>
    </row>
    <row r="9" spans="1:9" ht="21" customHeight="1" x14ac:dyDescent="0.35">
      <c r="A9" s="179" t="s">
        <v>128</v>
      </c>
      <c r="B9" s="69"/>
      <c r="C9" s="69">
        <v>4</v>
      </c>
      <c r="D9" s="180">
        <v>4.32</v>
      </c>
      <c r="E9" s="180"/>
      <c r="F9" s="180">
        <f t="shared" si="0"/>
        <v>2</v>
      </c>
      <c r="G9" s="71">
        <v>5.5</v>
      </c>
      <c r="H9" s="57">
        <v>12.6</v>
      </c>
      <c r="I9" s="71">
        <f>H9-G9</f>
        <v>7.1</v>
      </c>
    </row>
    <row r="10" spans="1:9" x14ac:dyDescent="0.35">
      <c r="A10" s="177" t="s">
        <v>76</v>
      </c>
      <c r="B10" s="77"/>
      <c r="C10" s="77"/>
      <c r="D10" s="178"/>
      <c r="E10" s="178"/>
      <c r="F10" s="178">
        <v>3</v>
      </c>
      <c r="G10" s="73"/>
      <c r="H10" s="73"/>
      <c r="I10" s="73"/>
    </row>
    <row r="11" spans="1:9" x14ac:dyDescent="0.35">
      <c r="A11" s="68" t="s">
        <v>113</v>
      </c>
      <c r="B11" s="69"/>
      <c r="C11" s="75">
        <v>0.5</v>
      </c>
      <c r="D11" s="58">
        <v>1.88</v>
      </c>
      <c r="E11" s="58"/>
      <c r="F11" s="58">
        <f t="shared" si="0"/>
        <v>3</v>
      </c>
      <c r="G11" s="71">
        <v>3.5</v>
      </c>
      <c r="H11" s="71">
        <v>8.3000000000000007</v>
      </c>
      <c r="I11" s="71">
        <f>H11-G11</f>
        <v>4.8000000000000007</v>
      </c>
    </row>
    <row r="12" spans="1:9" x14ac:dyDescent="0.35">
      <c r="A12" s="68" t="s">
        <v>156</v>
      </c>
      <c r="B12" s="69">
        <v>1.55</v>
      </c>
      <c r="C12" s="69"/>
      <c r="D12" s="74"/>
      <c r="E12" s="74"/>
      <c r="F12" s="74">
        <f t="shared" si="0"/>
        <v>3</v>
      </c>
      <c r="G12" s="71">
        <v>61.2</v>
      </c>
      <c r="H12" s="71">
        <v>67.099999999999994</v>
      </c>
      <c r="I12" s="71">
        <f>H12-G12</f>
        <v>5.8999999999999915</v>
      </c>
    </row>
    <row r="13" spans="1:9" ht="14.5" customHeight="1" x14ac:dyDescent="0.35">
      <c r="A13" s="68" t="s">
        <v>114</v>
      </c>
      <c r="B13" s="75"/>
      <c r="C13" s="181">
        <v>5.03</v>
      </c>
      <c r="D13" s="58"/>
      <c r="E13" s="58"/>
      <c r="F13" s="58">
        <f t="shared" si="0"/>
        <v>3</v>
      </c>
      <c r="G13" s="57">
        <v>146</v>
      </c>
      <c r="H13" s="57">
        <v>159.19999999999999</v>
      </c>
      <c r="I13" s="71">
        <f>H13-G13</f>
        <v>13.199999999999989</v>
      </c>
    </row>
    <row r="14" spans="1:9" ht="30.65" customHeight="1" x14ac:dyDescent="0.35">
      <c r="A14" s="68" t="s">
        <v>115</v>
      </c>
      <c r="B14" s="182"/>
      <c r="C14" s="160"/>
      <c r="D14" s="74">
        <v>2.88</v>
      </c>
      <c r="E14" s="74"/>
      <c r="F14" s="74">
        <f t="shared" si="0"/>
        <v>3</v>
      </c>
      <c r="G14" s="71">
        <v>67.099999999999994</v>
      </c>
      <c r="H14" s="71">
        <v>75.3</v>
      </c>
      <c r="I14" s="71">
        <f>H14-G14</f>
        <v>8.2000000000000028</v>
      </c>
    </row>
    <row r="15" spans="1:9" ht="18.75" customHeight="1" x14ac:dyDescent="0.35">
      <c r="A15" s="68" t="s">
        <v>116</v>
      </c>
      <c r="B15" s="75"/>
      <c r="C15" s="160">
        <v>2.62</v>
      </c>
      <c r="D15" s="70"/>
      <c r="E15" s="70"/>
      <c r="F15" s="70">
        <f t="shared" si="0"/>
        <v>3</v>
      </c>
      <c r="G15" s="71">
        <v>109.6</v>
      </c>
      <c r="H15" s="71">
        <v>118.9</v>
      </c>
      <c r="I15" s="71">
        <f>H15-G15</f>
        <v>9.3000000000000114</v>
      </c>
    </row>
    <row r="16" spans="1:9" ht="20.149999999999999" customHeight="1" x14ac:dyDescent="0.35">
      <c r="A16" s="177" t="s">
        <v>87</v>
      </c>
      <c r="B16" s="77"/>
      <c r="C16" s="77"/>
      <c r="D16" s="178"/>
      <c r="E16" s="178"/>
      <c r="F16" s="178">
        <v>5</v>
      </c>
      <c r="G16" s="72"/>
      <c r="H16" s="72"/>
      <c r="I16" s="72"/>
    </row>
    <row r="17" spans="1:10" ht="21.75" customHeight="1" x14ac:dyDescent="0.35">
      <c r="A17" s="68" t="s">
        <v>117</v>
      </c>
      <c r="B17" s="69"/>
      <c r="C17" s="69"/>
      <c r="D17" s="58">
        <v>2.2999999999999998</v>
      </c>
      <c r="E17" s="58"/>
      <c r="F17" s="58">
        <f t="shared" si="0"/>
        <v>5</v>
      </c>
      <c r="G17" s="71">
        <v>28.2</v>
      </c>
      <c r="H17" s="71">
        <v>35.799999999999997</v>
      </c>
      <c r="I17" s="71">
        <f>H17-G17</f>
        <v>7.5999999999999979</v>
      </c>
    </row>
    <row r="18" spans="1:10" ht="18" customHeight="1" x14ac:dyDescent="0.35">
      <c r="A18" s="68" t="s">
        <v>118</v>
      </c>
      <c r="B18" s="69"/>
      <c r="C18" s="69">
        <v>3.63</v>
      </c>
      <c r="D18" s="183"/>
      <c r="E18" s="183"/>
      <c r="F18" s="216">
        <f t="shared" si="0"/>
        <v>5</v>
      </c>
      <c r="G18" s="71">
        <v>48.5</v>
      </c>
      <c r="H18" s="71">
        <v>61.7</v>
      </c>
      <c r="I18" s="71">
        <f>H18-G18</f>
        <v>13.200000000000003</v>
      </c>
    </row>
    <row r="19" spans="1:10" ht="18" customHeight="1" x14ac:dyDescent="0.35">
      <c r="A19" s="68" t="s">
        <v>119</v>
      </c>
      <c r="B19" s="69"/>
      <c r="C19" s="76"/>
      <c r="D19" s="582">
        <f>I19*0.5</f>
        <v>3.1499999999999986</v>
      </c>
      <c r="E19" s="183"/>
      <c r="F19" s="216">
        <f t="shared" si="0"/>
        <v>5</v>
      </c>
      <c r="G19" s="71">
        <v>87.8</v>
      </c>
      <c r="H19" s="71">
        <v>94.1</v>
      </c>
      <c r="I19" s="71">
        <f>H19-G19</f>
        <v>6.2999999999999972</v>
      </c>
    </row>
    <row r="20" spans="1:10" ht="18.75" customHeight="1" x14ac:dyDescent="0.35">
      <c r="A20" s="68" t="s">
        <v>120</v>
      </c>
      <c r="B20" s="75">
        <v>0.3</v>
      </c>
      <c r="C20" s="76">
        <v>2.2999999999999998</v>
      </c>
      <c r="D20" s="58"/>
      <c r="E20" s="58"/>
      <c r="F20" s="58">
        <f t="shared" si="0"/>
        <v>5</v>
      </c>
      <c r="G20" s="71">
        <v>110.8</v>
      </c>
      <c r="H20" s="71">
        <v>120.7</v>
      </c>
      <c r="I20" s="71">
        <f>H20-G20</f>
        <v>9.9000000000000057</v>
      </c>
    </row>
    <row r="21" spans="1:10" ht="18" customHeight="1" x14ac:dyDescent="0.35">
      <c r="A21" s="177" t="s">
        <v>90</v>
      </c>
      <c r="B21" s="77"/>
      <c r="C21" s="77"/>
      <c r="D21" s="178"/>
      <c r="E21" s="178"/>
      <c r="F21" s="178">
        <v>8</v>
      </c>
      <c r="G21" s="72"/>
      <c r="H21" s="72"/>
      <c r="I21" s="72"/>
    </row>
    <row r="22" spans="1:10" ht="27.75" customHeight="1" x14ac:dyDescent="0.35">
      <c r="A22" s="68" t="s">
        <v>121</v>
      </c>
      <c r="B22" s="78">
        <v>1.5</v>
      </c>
      <c r="C22" s="78">
        <v>1.17</v>
      </c>
      <c r="D22" s="79"/>
      <c r="E22" s="79"/>
      <c r="F22" s="79">
        <f t="shared" si="0"/>
        <v>8</v>
      </c>
      <c r="G22" s="71">
        <v>29.4</v>
      </c>
      <c r="H22" s="71">
        <v>37.4</v>
      </c>
      <c r="I22" s="71">
        <f>H22-G22</f>
        <v>8</v>
      </c>
    </row>
    <row r="23" spans="1:10" ht="27.75" customHeight="1" x14ac:dyDescent="0.35">
      <c r="A23" s="68" t="s">
        <v>121</v>
      </c>
      <c r="B23" s="78">
        <v>0.5</v>
      </c>
      <c r="C23" s="78">
        <v>2.31</v>
      </c>
      <c r="D23" s="79"/>
      <c r="E23" s="79"/>
      <c r="F23" s="79">
        <f t="shared" si="0"/>
        <v>8</v>
      </c>
      <c r="G23" s="71">
        <v>37.4</v>
      </c>
      <c r="H23" s="71">
        <v>46.8</v>
      </c>
      <c r="I23" s="71">
        <f>H23-G23</f>
        <v>9.3999999999999986</v>
      </c>
    </row>
    <row r="24" spans="1:10" ht="27" customHeight="1" x14ac:dyDescent="0.35">
      <c r="A24" s="68" t="s">
        <v>122</v>
      </c>
      <c r="B24" s="78">
        <v>2.4300000000000002</v>
      </c>
      <c r="C24" s="75"/>
      <c r="D24" s="79"/>
      <c r="E24" s="79"/>
      <c r="F24" s="79">
        <f t="shared" si="0"/>
        <v>8</v>
      </c>
      <c r="G24" s="71">
        <v>18</v>
      </c>
      <c r="H24" s="71">
        <v>25.1</v>
      </c>
      <c r="I24" s="71">
        <f>H24-G24</f>
        <v>7.1000000000000014</v>
      </c>
    </row>
    <row r="25" spans="1:10" ht="27" customHeight="1" x14ac:dyDescent="0.35">
      <c r="A25" s="177" t="s">
        <v>92</v>
      </c>
      <c r="B25" s="77"/>
      <c r="C25" s="77"/>
      <c r="D25" s="178"/>
      <c r="E25" s="178"/>
      <c r="F25" s="178">
        <v>9</v>
      </c>
      <c r="G25" s="72"/>
      <c r="H25" s="72"/>
      <c r="I25" s="72"/>
    </row>
    <row r="26" spans="1:10" ht="16.5" customHeight="1" x14ac:dyDescent="0.35">
      <c r="A26" s="80" t="s">
        <v>123</v>
      </c>
      <c r="B26" s="81"/>
      <c r="C26" s="81">
        <v>3.72</v>
      </c>
      <c r="D26" s="65"/>
      <c r="E26" s="65"/>
      <c r="F26" s="65">
        <f t="shared" si="0"/>
        <v>9</v>
      </c>
      <c r="G26" s="82">
        <v>0</v>
      </c>
      <c r="H26" s="82">
        <v>18.3</v>
      </c>
      <c r="I26" s="82">
        <f>H26-G26</f>
        <v>18.3</v>
      </c>
    </row>
    <row r="27" spans="1:10" ht="16.5" customHeight="1" x14ac:dyDescent="0.35">
      <c r="A27" s="83" t="s">
        <v>124</v>
      </c>
      <c r="B27" s="84">
        <v>2.87</v>
      </c>
      <c r="C27" s="85"/>
      <c r="D27" s="62"/>
      <c r="E27" s="62"/>
      <c r="F27" s="62">
        <f t="shared" si="0"/>
        <v>9</v>
      </c>
      <c r="G27" s="71">
        <v>38.9</v>
      </c>
      <c r="H27" s="71">
        <v>49.4</v>
      </c>
      <c r="I27" s="71">
        <f>H27-G27</f>
        <v>10.5</v>
      </c>
    </row>
    <row r="28" spans="1:10" ht="24.5" x14ac:dyDescent="0.35">
      <c r="A28" s="177" t="s">
        <v>93</v>
      </c>
      <c r="B28" s="77"/>
      <c r="C28" s="77"/>
      <c r="D28" s="178"/>
      <c r="E28" s="178"/>
      <c r="F28" s="178">
        <v>10</v>
      </c>
      <c r="G28" s="178"/>
      <c r="H28" s="178"/>
      <c r="I28" s="178"/>
    </row>
    <row r="29" spans="1:10" ht="15" thickBot="1" x14ac:dyDescent="0.4">
      <c r="A29" s="68" t="s">
        <v>125</v>
      </c>
      <c r="B29" s="69"/>
      <c r="C29" s="69">
        <v>2.76</v>
      </c>
      <c r="D29" s="70"/>
      <c r="E29" s="70"/>
      <c r="F29" s="70">
        <f t="shared" si="0"/>
        <v>10</v>
      </c>
      <c r="G29" s="71">
        <v>21</v>
      </c>
      <c r="H29" s="71">
        <v>29</v>
      </c>
      <c r="I29" s="71">
        <f>H29-G29</f>
        <v>8</v>
      </c>
    </row>
    <row r="30" spans="1:10" x14ac:dyDescent="0.35">
      <c r="A30" s="184" t="s">
        <v>126</v>
      </c>
      <c r="B30" s="86">
        <f>SUM(B5:B29)</f>
        <v>11.149999999999999</v>
      </c>
      <c r="C30" s="86">
        <f>SUM(C5:C29)</f>
        <v>32.67</v>
      </c>
      <c r="D30" s="86">
        <f>SUM(D5:D29)</f>
        <v>14.529999999999998</v>
      </c>
      <c r="E30" s="86">
        <f>SUM(E5:E29)</f>
        <v>0</v>
      </c>
      <c r="F30" s="86"/>
      <c r="G30" s="185"/>
      <c r="H30" s="185"/>
      <c r="I30" s="186">
        <f>SUM(I4:I29)</f>
        <v>162.80000000000001</v>
      </c>
    </row>
    <row r="31" spans="1:10" ht="15" thickBot="1" x14ac:dyDescent="0.4">
      <c r="A31" s="187" t="s">
        <v>127</v>
      </c>
      <c r="B31" s="87">
        <f>B30*0.85</f>
        <v>9.4774999999999991</v>
      </c>
      <c r="C31" s="87">
        <f>C30*0.85</f>
        <v>27.769500000000001</v>
      </c>
      <c r="D31" s="87">
        <f>D30*0.85</f>
        <v>12.350499999999998</v>
      </c>
      <c r="E31" s="87">
        <f>E30*0.85</f>
        <v>0</v>
      </c>
      <c r="F31" s="87"/>
      <c r="G31" s="188"/>
      <c r="H31" s="188"/>
      <c r="I31" s="189"/>
      <c r="J31" s="583"/>
    </row>
    <row r="32" spans="1:10" x14ac:dyDescent="0.35">
      <c r="A32" s="54"/>
      <c r="B32" s="54"/>
      <c r="C32" s="54"/>
      <c r="D32" s="54"/>
      <c r="E32" s="54"/>
      <c r="F32" s="54"/>
    </row>
  </sheetData>
  <mergeCells count="7">
    <mergeCell ref="A1:I1"/>
    <mergeCell ref="A2:A3"/>
    <mergeCell ref="B2:E2"/>
    <mergeCell ref="F2:F3"/>
    <mergeCell ref="G2:G3"/>
    <mergeCell ref="H2:H3"/>
    <mergeCell ref="I2:I3"/>
  </mergeCells>
  <pageMargins left="0.7" right="0.7" top="0.75" bottom="0.75" header="0.3" footer="0.3"/>
  <pageSetup paperSize="9" scale="95" orientation="portrait" r:id="rId1"/>
  <customProperties>
    <customPr name="EpmWorksheetKeyString_GUID" r:id="rId2"/>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P58"/>
  <sheetViews>
    <sheetView topLeftCell="A22" zoomScaleNormal="100" workbookViewId="0">
      <selection activeCell="N31" activeCellId="1" sqref="M34 N31"/>
    </sheetView>
  </sheetViews>
  <sheetFormatPr defaultColWidth="8.7265625" defaultRowHeight="14.5" x14ac:dyDescent="0.35"/>
  <cols>
    <col min="1" max="1" width="32.81640625" style="154" customWidth="1"/>
    <col min="2" max="2" width="6.7265625" style="167" customWidth="1"/>
    <col min="3" max="8" width="6.7265625" style="168" customWidth="1"/>
    <col min="9" max="9" width="30.7265625" style="169" customWidth="1"/>
    <col min="10" max="11" width="6.1796875" style="165" customWidth="1"/>
    <col min="12" max="13" width="5.26953125" style="165" customWidth="1"/>
    <col min="14" max="14" width="8.54296875" style="165" customWidth="1"/>
    <col min="15" max="15" width="18.54296875" style="53" customWidth="1"/>
    <col min="16" max="230" width="8.7265625" style="53"/>
    <col min="231" max="231" width="39.7265625" style="53" customWidth="1"/>
    <col min="232" max="234" width="6.1796875" style="53" customWidth="1"/>
    <col min="235" max="235" width="8.453125" style="53" bestFit="1" customWidth="1"/>
    <col min="236" max="236" width="12.54296875" style="53" bestFit="1" customWidth="1"/>
    <col min="237" max="237" width="27.26953125" style="53" bestFit="1" customWidth="1"/>
    <col min="238" max="238" width="9.1796875" style="53" customWidth="1"/>
    <col min="239" max="239" width="14.7265625" style="53" customWidth="1"/>
    <col min="240" max="240" width="11.7265625" style="53" customWidth="1"/>
    <col min="241" max="241" width="14.7265625" style="53" customWidth="1"/>
    <col min="242" max="242" width="11.7265625" style="53" customWidth="1"/>
    <col min="243" max="243" width="14.7265625" style="53" customWidth="1"/>
    <col min="244" max="244" width="11.7265625" style="53" customWidth="1"/>
    <col min="245" max="16384" width="8.7265625" style="53"/>
  </cols>
  <sheetData>
    <row r="1" spans="1:16" ht="17.25" customHeight="1" thickBot="1" x14ac:dyDescent="0.55000000000000004">
      <c r="B1" s="250" t="s">
        <v>49</v>
      </c>
      <c r="C1" s="249"/>
      <c r="D1" s="249"/>
      <c r="E1" s="249"/>
      <c r="F1" s="249"/>
      <c r="G1" s="249"/>
      <c r="H1" s="249"/>
      <c r="I1" s="249"/>
      <c r="J1" s="249"/>
      <c r="K1" s="249"/>
      <c r="L1" s="249"/>
      <c r="M1" s="249"/>
      <c r="N1" s="249"/>
    </row>
    <row r="2" spans="1:16" ht="15.75" customHeight="1" x14ac:dyDescent="0.35">
      <c r="A2" s="221" t="s">
        <v>50</v>
      </c>
      <c r="B2" s="1596" t="s">
        <v>51</v>
      </c>
      <c r="C2" s="1597"/>
      <c r="D2" s="1597"/>
      <c r="E2" s="1597"/>
      <c r="F2" s="1597"/>
      <c r="G2" s="1597"/>
      <c r="H2" s="1598"/>
      <c r="I2" s="1599" t="s">
        <v>52</v>
      </c>
      <c r="J2" s="1601" t="s">
        <v>159</v>
      </c>
      <c r="K2" s="1601" t="s">
        <v>53</v>
      </c>
      <c r="L2" s="1601" t="s">
        <v>53</v>
      </c>
      <c r="M2" s="1551" t="s">
        <v>54</v>
      </c>
      <c r="N2" s="1551" t="s">
        <v>339</v>
      </c>
    </row>
    <row r="3" spans="1:16" s="141" customFormat="1" ht="15" customHeight="1" thickBot="1" x14ac:dyDescent="0.35">
      <c r="A3" s="222"/>
      <c r="B3" s="55">
        <v>2014</v>
      </c>
      <c r="C3" s="55">
        <v>2015</v>
      </c>
      <c r="D3" s="55">
        <v>2016</v>
      </c>
      <c r="E3" s="55">
        <v>2017</v>
      </c>
      <c r="F3" s="55">
        <v>2018</v>
      </c>
      <c r="G3" s="55">
        <v>2019</v>
      </c>
      <c r="H3" s="56">
        <v>2020</v>
      </c>
      <c r="I3" s="1600"/>
      <c r="J3" s="1602"/>
      <c r="K3" s="1602"/>
      <c r="L3" s="1602"/>
      <c r="M3" s="1552"/>
      <c r="N3" s="1552"/>
    </row>
    <row r="4" spans="1:16" s="141" customFormat="1" ht="12" x14ac:dyDescent="0.3">
      <c r="A4" s="215">
        <v>1</v>
      </c>
      <c r="B4" s="215">
        <v>2</v>
      </c>
      <c r="C4" s="215">
        <v>3</v>
      </c>
      <c r="D4" s="215">
        <v>4</v>
      </c>
      <c r="E4" s="215">
        <v>5</v>
      </c>
      <c r="F4" s="215">
        <v>6</v>
      </c>
      <c r="G4" s="215">
        <v>7</v>
      </c>
      <c r="H4" s="215">
        <v>8</v>
      </c>
      <c r="I4" s="215">
        <v>9</v>
      </c>
      <c r="J4" s="215">
        <v>10</v>
      </c>
      <c r="K4" s="215">
        <v>11</v>
      </c>
      <c r="L4" s="215">
        <v>12</v>
      </c>
      <c r="M4" s="215">
        <v>13</v>
      </c>
      <c r="N4" s="215">
        <v>14</v>
      </c>
      <c r="O4" s="215">
        <v>15</v>
      </c>
    </row>
    <row r="5" spans="1:16" s="141" customFormat="1" ht="14.25" customHeight="1" x14ac:dyDescent="0.3">
      <c r="A5" s="142" t="s">
        <v>55</v>
      </c>
      <c r="B5" s="143"/>
      <c r="C5" s="144"/>
      <c r="D5" s="144"/>
      <c r="E5" s="144"/>
      <c r="F5" s="144"/>
      <c r="G5" s="144"/>
      <c r="H5" s="144"/>
      <c r="I5" s="145"/>
      <c r="J5" s="146">
        <v>1</v>
      </c>
      <c r="K5" s="146"/>
      <c r="L5" s="146"/>
      <c r="M5" s="146"/>
      <c r="N5" s="146"/>
    </row>
    <row r="6" spans="1:16" s="150" customFormat="1" ht="26" x14ac:dyDescent="0.3">
      <c r="A6" s="122" t="s">
        <v>56</v>
      </c>
      <c r="B6" s="69">
        <v>0.9</v>
      </c>
      <c r="C6" s="130"/>
      <c r="D6" s="130"/>
      <c r="E6" s="130"/>
      <c r="F6" s="130"/>
      <c r="G6" s="131"/>
      <c r="H6" s="131"/>
      <c r="I6" s="380" t="s">
        <v>435</v>
      </c>
      <c r="J6" s="147">
        <f>J5</f>
        <v>1</v>
      </c>
      <c r="K6" s="147"/>
      <c r="L6" s="147"/>
      <c r="M6" s="147"/>
      <c r="N6" s="148">
        <v>6700</v>
      </c>
      <c r="O6" s="149" t="s">
        <v>57</v>
      </c>
    </row>
    <row r="7" spans="1:16" s="150" customFormat="1" ht="13" x14ac:dyDescent="0.3">
      <c r="A7" s="122" t="s">
        <v>58</v>
      </c>
      <c r="B7" s="69">
        <v>1</v>
      </c>
      <c r="C7" s="130">
        <v>3.5</v>
      </c>
      <c r="D7" s="130"/>
      <c r="E7" s="130"/>
      <c r="F7" s="130"/>
      <c r="G7" s="131"/>
      <c r="H7" s="131"/>
      <c r="I7" s="380" t="s">
        <v>59</v>
      </c>
      <c r="J7" s="147">
        <f t="shared" ref="J7:J42" si="0">J6</f>
        <v>1</v>
      </c>
      <c r="K7" s="147">
        <v>10.4</v>
      </c>
      <c r="L7" s="147"/>
      <c r="M7" s="147"/>
      <c r="N7" s="151">
        <v>27600</v>
      </c>
      <c r="O7" s="149" t="s">
        <v>57</v>
      </c>
    </row>
    <row r="8" spans="1:16" s="150" customFormat="1" ht="26" x14ac:dyDescent="0.3">
      <c r="A8" s="122" t="s">
        <v>60</v>
      </c>
      <c r="B8" s="113"/>
      <c r="C8" s="130"/>
      <c r="D8" s="130"/>
      <c r="E8" s="130">
        <v>4</v>
      </c>
      <c r="F8" s="130">
        <v>12</v>
      </c>
      <c r="G8" s="152">
        <v>4</v>
      </c>
      <c r="H8" s="131"/>
      <c r="I8" s="380" t="s">
        <v>141</v>
      </c>
      <c r="J8" s="213">
        <f t="shared" si="0"/>
        <v>1</v>
      </c>
      <c r="K8" s="147">
        <v>9</v>
      </c>
      <c r="L8" s="147">
        <v>10.199999999999999</v>
      </c>
      <c r="M8" s="147">
        <v>1.2</v>
      </c>
      <c r="N8" s="151">
        <v>27600</v>
      </c>
      <c r="O8" s="149" t="s">
        <v>61</v>
      </c>
    </row>
    <row r="9" spans="1:16" s="150" customFormat="1" ht="78" x14ac:dyDescent="0.3">
      <c r="A9" s="122" t="s">
        <v>62</v>
      </c>
      <c r="B9" s="113"/>
      <c r="C9" s="130"/>
      <c r="D9" s="152">
        <v>3</v>
      </c>
      <c r="E9" s="130">
        <v>7</v>
      </c>
      <c r="F9" s="153"/>
      <c r="G9" s="131"/>
      <c r="H9" s="131"/>
      <c r="I9" s="380" t="s">
        <v>543</v>
      </c>
      <c r="J9" s="62">
        <f t="shared" si="0"/>
        <v>1</v>
      </c>
      <c r="K9" s="59">
        <v>183</v>
      </c>
      <c r="L9" s="59">
        <v>187.5</v>
      </c>
      <c r="M9" s="59">
        <f>L9-K9</f>
        <v>4.5</v>
      </c>
      <c r="N9" s="59">
        <v>6700</v>
      </c>
      <c r="O9" s="95" t="s">
        <v>61</v>
      </c>
      <c r="P9" s="95"/>
    </row>
    <row r="10" spans="1:16" s="95" customFormat="1" ht="13" x14ac:dyDescent="0.3">
      <c r="A10" s="155" t="s">
        <v>64</v>
      </c>
      <c r="B10" s="133"/>
      <c r="C10" s="133"/>
      <c r="D10" s="133"/>
      <c r="E10" s="129"/>
      <c r="F10" s="129"/>
      <c r="G10" s="129"/>
      <c r="H10" s="129"/>
      <c r="I10" s="381"/>
      <c r="J10" s="161">
        <v>2</v>
      </c>
      <c r="K10" s="60"/>
      <c r="L10" s="60"/>
      <c r="M10" s="60"/>
      <c r="N10" s="60"/>
      <c r="O10" s="156"/>
      <c r="P10" s="156"/>
    </row>
    <row r="11" spans="1:16" s="156" customFormat="1" ht="13" x14ac:dyDescent="0.3">
      <c r="A11" s="123"/>
      <c r="B11" s="134"/>
      <c r="C11" s="130"/>
      <c r="D11" s="130"/>
      <c r="E11" s="135"/>
      <c r="F11" s="135"/>
      <c r="G11" s="135"/>
      <c r="H11" s="135"/>
      <c r="I11" s="382"/>
      <c r="J11" s="214"/>
      <c r="K11" s="109"/>
      <c r="L11" s="109"/>
      <c r="M11" s="109"/>
      <c r="N11" s="109"/>
    </row>
    <row r="12" spans="1:16" s="156" customFormat="1" ht="13" x14ac:dyDescent="0.3">
      <c r="A12" s="122" t="s">
        <v>65</v>
      </c>
      <c r="B12" s="69">
        <v>1.3</v>
      </c>
      <c r="C12" s="130"/>
      <c r="D12" s="152"/>
      <c r="E12" s="130"/>
      <c r="F12" s="130"/>
      <c r="G12" s="130"/>
      <c r="H12" s="130"/>
      <c r="I12" s="380" t="s">
        <v>136</v>
      </c>
      <c r="J12" s="62">
        <f t="shared" si="0"/>
        <v>0</v>
      </c>
      <c r="K12" s="59"/>
      <c r="L12" s="59"/>
      <c r="M12" s="59"/>
      <c r="N12" s="62"/>
      <c r="O12" s="95" t="s">
        <v>57</v>
      </c>
      <c r="P12" s="95"/>
    </row>
    <row r="13" spans="1:16" s="95" customFormat="1" ht="39" x14ac:dyDescent="0.3">
      <c r="A13" s="122" t="s">
        <v>66</v>
      </c>
      <c r="B13" s="130"/>
      <c r="C13" s="130"/>
      <c r="D13" s="170"/>
      <c r="E13" s="130">
        <v>5</v>
      </c>
      <c r="F13" s="130">
        <v>10</v>
      </c>
      <c r="G13" s="130">
        <v>38.799999999999997</v>
      </c>
      <c r="H13" s="130">
        <v>40</v>
      </c>
      <c r="I13" s="380" t="s">
        <v>67</v>
      </c>
      <c r="J13" s="62">
        <f t="shared" si="0"/>
        <v>0</v>
      </c>
      <c r="K13" s="59">
        <v>40</v>
      </c>
      <c r="L13" s="59">
        <v>85</v>
      </c>
      <c r="M13" s="59">
        <f>L13-K13</f>
        <v>45</v>
      </c>
      <c r="N13" s="62">
        <v>7700</v>
      </c>
      <c r="O13" s="95" t="s">
        <v>79</v>
      </c>
    </row>
    <row r="14" spans="1:16" s="95" customFormat="1" ht="52" x14ac:dyDescent="0.3">
      <c r="A14" s="122" t="s">
        <v>69</v>
      </c>
      <c r="B14" s="69">
        <v>4</v>
      </c>
      <c r="C14" s="130">
        <v>7.7</v>
      </c>
      <c r="D14" s="152"/>
      <c r="E14" s="130"/>
      <c r="F14" s="130"/>
      <c r="G14" s="130"/>
      <c r="H14" s="130"/>
      <c r="I14" s="380" t="s">
        <v>142</v>
      </c>
      <c r="J14" s="62">
        <f t="shared" si="0"/>
        <v>0</v>
      </c>
      <c r="K14" s="59">
        <v>188.5</v>
      </c>
      <c r="L14" s="59">
        <v>191.6</v>
      </c>
      <c r="M14" s="59">
        <v>3.1</v>
      </c>
      <c r="N14" s="62">
        <v>12000</v>
      </c>
      <c r="O14" s="95" t="s">
        <v>57</v>
      </c>
    </row>
    <row r="15" spans="1:16" s="95" customFormat="1" ht="39.75" customHeight="1" x14ac:dyDescent="0.3">
      <c r="A15" s="122" t="s">
        <v>70</v>
      </c>
      <c r="B15" s="69">
        <v>2</v>
      </c>
      <c r="C15" s="130">
        <v>2.83</v>
      </c>
      <c r="D15" s="131"/>
      <c r="E15" s="130"/>
      <c r="F15" s="130"/>
      <c r="G15" s="130"/>
      <c r="H15" s="130"/>
      <c r="I15" s="380" t="s">
        <v>71</v>
      </c>
      <c r="J15" s="62">
        <f t="shared" si="0"/>
        <v>0</v>
      </c>
      <c r="K15" s="59">
        <v>181.9</v>
      </c>
      <c r="L15" s="59">
        <v>184.1</v>
      </c>
      <c r="M15" s="59">
        <f>L15-K15</f>
        <v>2.1999999999999886</v>
      </c>
      <c r="N15" s="62">
        <v>12000</v>
      </c>
      <c r="O15" s="95" t="s">
        <v>61</v>
      </c>
    </row>
    <row r="16" spans="1:16" s="95" customFormat="1" ht="52" x14ac:dyDescent="0.3">
      <c r="A16" s="122" t="s">
        <v>450</v>
      </c>
      <c r="B16" s="130"/>
      <c r="C16" s="130"/>
      <c r="D16" s="130"/>
      <c r="E16" s="130"/>
      <c r="F16" s="157"/>
      <c r="G16" s="157"/>
      <c r="H16" s="130">
        <v>8</v>
      </c>
      <c r="I16" s="380" t="s">
        <v>143</v>
      </c>
      <c r="J16" s="62">
        <f t="shared" si="0"/>
        <v>0</v>
      </c>
      <c r="K16" s="59">
        <v>184.1</v>
      </c>
      <c r="L16" s="59">
        <v>185.9</v>
      </c>
      <c r="M16" s="59">
        <f>L16-K16</f>
        <v>1.8000000000000114</v>
      </c>
      <c r="N16" s="62">
        <v>12200</v>
      </c>
      <c r="O16" s="95" t="s">
        <v>79</v>
      </c>
      <c r="P16" s="95" t="s">
        <v>73</v>
      </c>
    </row>
    <row r="17" spans="1:16" s="95" customFormat="1" ht="13" x14ac:dyDescent="0.3">
      <c r="A17" s="122" t="s">
        <v>74</v>
      </c>
      <c r="B17" s="130"/>
      <c r="C17" s="130"/>
      <c r="D17" s="130">
        <v>0.65100000000000002</v>
      </c>
      <c r="E17" s="130">
        <v>3.5</v>
      </c>
      <c r="F17" s="157">
        <v>4</v>
      </c>
      <c r="G17" s="157"/>
      <c r="H17" s="130"/>
      <c r="I17" s="380" t="s">
        <v>544</v>
      </c>
      <c r="J17" s="62">
        <v>2</v>
      </c>
      <c r="K17" s="59">
        <v>128</v>
      </c>
      <c r="L17" s="59">
        <v>181.5</v>
      </c>
      <c r="M17" s="59"/>
      <c r="N17" s="62">
        <v>6500</v>
      </c>
      <c r="O17" s="95" t="s">
        <v>79</v>
      </c>
    </row>
    <row r="18" spans="1:16" s="95" customFormat="1" ht="13" x14ac:dyDescent="0.3">
      <c r="A18" s="124" t="s">
        <v>74</v>
      </c>
      <c r="B18" s="114"/>
      <c r="C18" s="130"/>
      <c r="D18" s="130"/>
      <c r="E18" s="130">
        <v>4</v>
      </c>
      <c r="F18" s="130">
        <v>6</v>
      </c>
      <c r="G18" s="130"/>
      <c r="H18" s="130"/>
      <c r="I18" s="383" t="s">
        <v>75</v>
      </c>
      <c r="J18" s="62">
        <f>J16</f>
        <v>0</v>
      </c>
      <c r="K18" s="59">
        <v>128</v>
      </c>
      <c r="L18" s="59">
        <v>181.5</v>
      </c>
      <c r="M18" s="59">
        <f>L18-K18</f>
        <v>53.5</v>
      </c>
      <c r="N18" s="59">
        <v>6500</v>
      </c>
      <c r="O18" s="95" t="s">
        <v>61</v>
      </c>
    </row>
    <row r="19" spans="1:16" s="95" customFormat="1" ht="13" x14ac:dyDescent="0.3">
      <c r="A19" s="155" t="s">
        <v>76</v>
      </c>
      <c r="B19" s="133"/>
      <c r="C19" s="133"/>
      <c r="D19" s="133"/>
      <c r="E19" s="129"/>
      <c r="F19" s="129"/>
      <c r="G19" s="129"/>
      <c r="H19" s="129"/>
      <c r="I19" s="381"/>
      <c r="J19" s="161">
        <v>3</v>
      </c>
      <c r="K19" s="60"/>
      <c r="L19" s="60"/>
      <c r="M19" s="60"/>
      <c r="N19" s="63"/>
      <c r="O19" s="156"/>
      <c r="P19" s="156"/>
    </row>
    <row r="20" spans="1:16" s="95" customFormat="1" ht="13" x14ac:dyDescent="0.3">
      <c r="A20" s="155" t="s">
        <v>77</v>
      </c>
      <c r="B20" s="133"/>
      <c r="C20" s="133"/>
      <c r="D20" s="133"/>
      <c r="E20" s="129"/>
      <c r="F20" s="129"/>
      <c r="G20" s="129"/>
      <c r="H20" s="129"/>
      <c r="I20" s="381"/>
      <c r="J20" s="161">
        <v>4</v>
      </c>
      <c r="K20" s="60"/>
      <c r="L20" s="60"/>
      <c r="M20" s="60"/>
      <c r="N20" s="64"/>
      <c r="O20" s="156"/>
      <c r="P20" s="156"/>
    </row>
    <row r="21" spans="1:16" s="156" customFormat="1" ht="72" x14ac:dyDescent="0.3">
      <c r="A21" s="122" t="s">
        <v>78</v>
      </c>
      <c r="B21" s="130">
        <v>9</v>
      </c>
      <c r="C21" s="130"/>
      <c r="D21" s="130">
        <v>2.35</v>
      </c>
      <c r="E21" s="130"/>
      <c r="F21" s="130"/>
      <c r="G21" s="131"/>
      <c r="H21" s="130"/>
      <c r="I21" s="383" t="s">
        <v>144</v>
      </c>
      <c r="J21" s="62">
        <f t="shared" si="0"/>
        <v>4</v>
      </c>
      <c r="K21" s="59">
        <v>14.7</v>
      </c>
      <c r="L21" s="59"/>
      <c r="M21" s="59"/>
      <c r="N21" s="62">
        <v>3000</v>
      </c>
      <c r="O21" s="95" t="s">
        <v>79</v>
      </c>
      <c r="P21" s="95"/>
    </row>
    <row r="22" spans="1:16" s="156" customFormat="1" ht="26" x14ac:dyDescent="0.3">
      <c r="A22" s="122" t="s">
        <v>80</v>
      </c>
      <c r="B22" s="69"/>
      <c r="C22" s="130"/>
      <c r="D22" s="130">
        <v>2</v>
      </c>
      <c r="E22" s="130">
        <v>5</v>
      </c>
      <c r="F22" s="130">
        <v>1.5</v>
      </c>
      <c r="G22" s="131"/>
      <c r="H22" s="130"/>
      <c r="I22" s="384" t="s">
        <v>145</v>
      </c>
      <c r="J22" s="62">
        <f t="shared" si="0"/>
        <v>4</v>
      </c>
      <c r="K22" s="59">
        <v>13</v>
      </c>
      <c r="L22" s="59">
        <v>16</v>
      </c>
      <c r="M22" s="59">
        <f>L22-K22</f>
        <v>3</v>
      </c>
      <c r="N22" s="62" t="s">
        <v>131</v>
      </c>
      <c r="O22" s="95" t="s">
        <v>61</v>
      </c>
      <c r="P22" s="95"/>
    </row>
    <row r="23" spans="1:16" s="95" customFormat="1" ht="26" x14ac:dyDescent="0.3">
      <c r="A23" s="122" t="s">
        <v>81</v>
      </c>
      <c r="B23" s="113"/>
      <c r="C23" s="130"/>
      <c r="D23" s="130">
        <v>3</v>
      </c>
      <c r="E23" s="152">
        <v>12</v>
      </c>
      <c r="F23" s="130"/>
      <c r="G23" s="130"/>
      <c r="H23" s="130"/>
      <c r="I23" s="380" t="s">
        <v>82</v>
      </c>
      <c r="J23" s="62">
        <f t="shared" si="0"/>
        <v>4</v>
      </c>
      <c r="K23" s="59">
        <v>28</v>
      </c>
      <c r="L23" s="59">
        <v>37</v>
      </c>
      <c r="M23" s="59">
        <f>L23-K23</f>
        <v>9</v>
      </c>
      <c r="N23" s="62">
        <v>8000</v>
      </c>
      <c r="O23" s="95" t="s">
        <v>61</v>
      </c>
    </row>
    <row r="24" spans="1:16" s="95" customFormat="1" ht="26" x14ac:dyDescent="0.3">
      <c r="A24" s="122" t="s">
        <v>83</v>
      </c>
      <c r="B24" s="113"/>
      <c r="C24" s="130"/>
      <c r="D24" s="130"/>
      <c r="E24" s="130"/>
      <c r="F24" s="130">
        <v>6</v>
      </c>
      <c r="G24" s="152">
        <v>4</v>
      </c>
      <c r="H24" s="131"/>
      <c r="I24" s="380" t="s">
        <v>84</v>
      </c>
      <c r="J24" s="62">
        <f t="shared" si="0"/>
        <v>4</v>
      </c>
      <c r="K24" s="59">
        <v>37</v>
      </c>
      <c r="L24" s="59">
        <v>42</v>
      </c>
      <c r="M24" s="59">
        <f>L24-K24</f>
        <v>5</v>
      </c>
      <c r="N24" s="62">
        <v>7000</v>
      </c>
      <c r="O24" s="95" t="s">
        <v>61</v>
      </c>
    </row>
    <row r="25" spans="1:16" s="95" customFormat="1" ht="26" x14ac:dyDescent="0.3">
      <c r="A25" s="122" t="s">
        <v>85</v>
      </c>
      <c r="B25" s="113"/>
      <c r="C25" s="130"/>
      <c r="D25" s="158">
        <v>2</v>
      </c>
      <c r="E25" s="158">
        <v>5</v>
      </c>
      <c r="F25" s="130">
        <v>1</v>
      </c>
      <c r="G25" s="130"/>
      <c r="H25" s="130"/>
      <c r="I25" s="380" t="s">
        <v>86</v>
      </c>
      <c r="J25" s="62">
        <f t="shared" si="0"/>
        <v>4</v>
      </c>
      <c r="K25" s="59">
        <v>120.3</v>
      </c>
      <c r="L25" s="59">
        <v>124.1</v>
      </c>
      <c r="M25" s="59">
        <f>L25-K25</f>
        <v>3.7999999999999972</v>
      </c>
      <c r="N25" s="62">
        <v>11300</v>
      </c>
      <c r="O25" s="95" t="s">
        <v>61</v>
      </c>
    </row>
    <row r="26" spans="1:16" s="95" customFormat="1" ht="13" x14ac:dyDescent="0.3">
      <c r="A26" s="155" t="s">
        <v>87</v>
      </c>
      <c r="B26" s="133"/>
      <c r="C26" s="133"/>
      <c r="D26" s="133"/>
      <c r="E26" s="129"/>
      <c r="F26" s="129"/>
      <c r="G26" s="129"/>
      <c r="H26" s="129"/>
      <c r="I26" s="381"/>
      <c r="J26" s="161">
        <v>5</v>
      </c>
      <c r="K26" s="60"/>
      <c r="L26" s="60"/>
      <c r="M26" s="60"/>
      <c r="N26" s="63"/>
      <c r="O26" s="156"/>
      <c r="P26" s="156"/>
    </row>
    <row r="27" spans="1:16" s="95" customFormat="1" ht="65" x14ac:dyDescent="0.3">
      <c r="A27" s="124" t="s">
        <v>88</v>
      </c>
      <c r="B27" s="159">
        <v>1.56</v>
      </c>
      <c r="C27" s="130"/>
      <c r="D27" s="172"/>
      <c r="E27" s="130"/>
      <c r="F27" s="130"/>
      <c r="G27" s="130"/>
      <c r="H27" s="130"/>
      <c r="I27" s="385" t="s">
        <v>147</v>
      </c>
      <c r="J27" s="62">
        <f t="shared" si="0"/>
        <v>5</v>
      </c>
      <c r="K27" s="59">
        <v>1.5</v>
      </c>
      <c r="L27" s="59">
        <v>4.2</v>
      </c>
      <c r="M27" s="59">
        <f>L27-K27</f>
        <v>2.7</v>
      </c>
      <c r="N27" s="62">
        <v>5800</v>
      </c>
      <c r="O27" s="95" t="s">
        <v>61</v>
      </c>
    </row>
    <row r="28" spans="1:16" s="95" customFormat="1" ht="26" x14ac:dyDescent="0.3">
      <c r="A28" s="124" t="s">
        <v>89</v>
      </c>
      <c r="B28" s="160">
        <v>1</v>
      </c>
      <c r="C28" s="173">
        <v>2.78</v>
      </c>
      <c r="D28" s="130"/>
      <c r="E28" s="130"/>
      <c r="F28" s="130"/>
      <c r="G28" s="130"/>
      <c r="H28" s="130"/>
      <c r="I28" s="380" t="s">
        <v>148</v>
      </c>
      <c r="J28" s="62">
        <f t="shared" si="0"/>
        <v>5</v>
      </c>
      <c r="K28" s="59">
        <v>74.7</v>
      </c>
      <c r="L28" s="59">
        <v>78.7</v>
      </c>
      <c r="M28" s="59">
        <f>L28-K28</f>
        <v>4</v>
      </c>
      <c r="N28" s="61">
        <v>4300</v>
      </c>
      <c r="O28" s="95" t="s">
        <v>61</v>
      </c>
    </row>
    <row r="29" spans="1:16" s="156" customFormat="1" ht="13" x14ac:dyDescent="0.3">
      <c r="A29" s="155" t="s">
        <v>90</v>
      </c>
      <c r="B29" s="133"/>
      <c r="C29" s="133"/>
      <c r="D29" s="133"/>
      <c r="E29" s="129"/>
      <c r="F29" s="129"/>
      <c r="G29" s="129"/>
      <c r="H29" s="129"/>
      <c r="I29" s="381"/>
      <c r="J29" s="161">
        <v>8</v>
      </c>
      <c r="K29" s="60"/>
      <c r="L29" s="60"/>
      <c r="M29" s="60"/>
      <c r="N29" s="60"/>
    </row>
    <row r="30" spans="1:16" s="95" customFormat="1" ht="39" x14ac:dyDescent="0.3">
      <c r="A30" s="122" t="s">
        <v>91</v>
      </c>
      <c r="B30" s="69">
        <v>2</v>
      </c>
      <c r="C30" s="130">
        <v>4.34</v>
      </c>
      <c r="D30" s="152"/>
      <c r="E30" s="130"/>
      <c r="F30" s="130"/>
      <c r="G30" s="130"/>
      <c r="H30" s="130"/>
      <c r="I30" s="380" t="s">
        <v>149</v>
      </c>
      <c r="J30" s="58">
        <f t="shared" si="0"/>
        <v>8</v>
      </c>
      <c r="K30" s="57">
        <v>24.7</v>
      </c>
      <c r="L30" s="57">
        <v>29.4</v>
      </c>
      <c r="M30" s="57">
        <f>L30-K30</f>
        <v>4.6999999999999993</v>
      </c>
      <c r="N30" s="62" t="s">
        <v>132</v>
      </c>
      <c r="O30" s="95" t="s">
        <v>61</v>
      </c>
    </row>
    <row r="31" spans="1:16" s="95" customFormat="1" ht="13" x14ac:dyDescent="0.3">
      <c r="A31" s="155" t="s">
        <v>92</v>
      </c>
      <c r="B31" s="133"/>
      <c r="C31" s="133"/>
      <c r="D31" s="133"/>
      <c r="E31" s="129"/>
      <c r="F31" s="129"/>
      <c r="G31" s="129"/>
      <c r="H31" s="129"/>
      <c r="I31" s="381"/>
      <c r="J31" s="161">
        <v>9</v>
      </c>
      <c r="K31" s="60"/>
      <c r="L31" s="60"/>
      <c r="M31" s="60"/>
      <c r="N31" s="60"/>
      <c r="O31" s="156"/>
      <c r="P31" s="156"/>
    </row>
    <row r="32" spans="1:16" s="156" customFormat="1" ht="13" x14ac:dyDescent="0.3">
      <c r="A32" s="155" t="s">
        <v>93</v>
      </c>
      <c r="B32" s="133"/>
      <c r="C32" s="133"/>
      <c r="D32" s="133"/>
      <c r="E32" s="129"/>
      <c r="F32" s="129"/>
      <c r="G32" s="129"/>
      <c r="H32" s="129"/>
      <c r="I32" s="381"/>
      <c r="J32" s="161">
        <v>10</v>
      </c>
      <c r="K32" s="161"/>
      <c r="L32" s="161"/>
      <c r="M32" s="161"/>
      <c r="N32" s="60"/>
    </row>
    <row r="33" spans="1:16" s="156" customFormat="1" ht="30" customHeight="1" x14ac:dyDescent="0.3">
      <c r="A33" s="155" t="s">
        <v>94</v>
      </c>
      <c r="B33" s="133"/>
      <c r="C33" s="133"/>
      <c r="D33" s="133"/>
      <c r="E33" s="129"/>
      <c r="F33" s="129"/>
      <c r="G33" s="129"/>
      <c r="H33" s="129"/>
      <c r="I33" s="381"/>
      <c r="J33" s="161">
        <v>11</v>
      </c>
      <c r="K33" s="161"/>
      <c r="L33" s="161"/>
      <c r="M33" s="161"/>
      <c r="N33" s="60"/>
      <c r="O33" s="95"/>
      <c r="P33" s="95"/>
    </row>
    <row r="34" spans="1:16" s="95" customFormat="1" ht="37.5" customHeight="1" x14ac:dyDescent="0.3">
      <c r="A34" s="122" t="s">
        <v>95</v>
      </c>
      <c r="B34" s="69">
        <v>9</v>
      </c>
      <c r="C34" s="130">
        <v>9.4</v>
      </c>
      <c r="D34" s="130"/>
      <c r="E34" s="130"/>
      <c r="F34" s="130"/>
      <c r="G34" s="130"/>
      <c r="H34" s="130"/>
      <c r="I34" s="380" t="s">
        <v>96</v>
      </c>
      <c r="J34" s="58">
        <f t="shared" si="0"/>
        <v>11</v>
      </c>
      <c r="K34" s="57">
        <v>11.8</v>
      </c>
      <c r="L34" s="57">
        <v>16.2</v>
      </c>
      <c r="M34" s="57"/>
      <c r="N34" s="58">
        <v>13700</v>
      </c>
      <c r="O34" s="149" t="s">
        <v>57</v>
      </c>
      <c r="P34" s="162"/>
    </row>
    <row r="35" spans="1:16" s="156" customFormat="1" ht="39" x14ac:dyDescent="0.3">
      <c r="A35" s="122" t="s">
        <v>97</v>
      </c>
      <c r="B35" s="69">
        <v>4.4000000000000004</v>
      </c>
      <c r="C35" s="130"/>
      <c r="D35" s="130"/>
      <c r="E35" s="130"/>
      <c r="F35" s="130"/>
      <c r="G35" s="130"/>
      <c r="H35" s="130"/>
      <c r="I35" s="380" t="s">
        <v>150</v>
      </c>
      <c r="J35" s="58">
        <f t="shared" si="0"/>
        <v>11</v>
      </c>
      <c r="K35" s="57">
        <v>16.2</v>
      </c>
      <c r="L35" s="57">
        <v>17.8</v>
      </c>
      <c r="M35" s="57"/>
      <c r="N35" s="58">
        <v>10100</v>
      </c>
      <c r="O35" s="149" t="s">
        <v>57</v>
      </c>
      <c r="P35" s="162"/>
    </row>
    <row r="36" spans="1:16" s="156" customFormat="1" ht="78" x14ac:dyDescent="0.3">
      <c r="A36" s="122" t="s">
        <v>98</v>
      </c>
      <c r="B36" s="69"/>
      <c r="C36" s="130">
        <v>0.3</v>
      </c>
      <c r="D36" s="130">
        <v>12.5</v>
      </c>
      <c r="E36" s="130">
        <v>15</v>
      </c>
      <c r="F36" s="130">
        <v>15</v>
      </c>
      <c r="G36" s="130">
        <f>7-0.5</f>
        <v>6.5</v>
      </c>
      <c r="H36" s="130"/>
      <c r="I36" s="380" t="s">
        <v>99</v>
      </c>
      <c r="J36" s="58">
        <f t="shared" si="0"/>
        <v>11</v>
      </c>
      <c r="K36" s="57">
        <v>0.6</v>
      </c>
      <c r="L36" s="57">
        <v>11.3</v>
      </c>
      <c r="M36" s="57">
        <f>L36-K36</f>
        <v>10.700000000000001</v>
      </c>
      <c r="N36" s="58">
        <v>12000</v>
      </c>
      <c r="O36" s="95" t="s">
        <v>61</v>
      </c>
      <c r="P36" s="162"/>
    </row>
    <row r="37" spans="1:16" s="95" customFormat="1" ht="39" x14ac:dyDescent="0.3">
      <c r="A37" s="125" t="s">
        <v>100</v>
      </c>
      <c r="B37" s="81"/>
      <c r="C37" s="138"/>
      <c r="D37" s="138"/>
      <c r="E37" s="138"/>
      <c r="F37" s="138">
        <v>5</v>
      </c>
      <c r="G37" s="139">
        <v>4</v>
      </c>
      <c r="H37" s="138"/>
      <c r="I37" s="380" t="s">
        <v>130</v>
      </c>
      <c r="J37" s="58">
        <f t="shared" si="0"/>
        <v>11</v>
      </c>
      <c r="K37" s="57">
        <v>30.1</v>
      </c>
      <c r="L37" s="57">
        <v>34</v>
      </c>
      <c r="M37" s="57">
        <f>L37-K37</f>
        <v>3.8999999999999986</v>
      </c>
      <c r="N37" s="58" t="s">
        <v>133</v>
      </c>
      <c r="O37" s="95" t="s">
        <v>61</v>
      </c>
      <c r="P37" s="162"/>
    </row>
    <row r="38" spans="1:16" s="162" customFormat="1" ht="26" x14ac:dyDescent="0.3">
      <c r="A38" s="569" t="s">
        <v>138</v>
      </c>
      <c r="B38" s="570"/>
      <c r="C38" s="571"/>
      <c r="D38" s="571"/>
      <c r="E38" s="571"/>
      <c r="F38" s="571">
        <v>7</v>
      </c>
      <c r="G38" s="163">
        <v>8.6999999999999993</v>
      </c>
      <c r="H38" s="571"/>
      <c r="I38" s="572" t="s">
        <v>545</v>
      </c>
      <c r="J38" s="70">
        <f t="shared" si="0"/>
        <v>11</v>
      </c>
      <c r="K38" s="71">
        <v>20</v>
      </c>
      <c r="L38" s="71">
        <v>24.1</v>
      </c>
      <c r="M38" s="71">
        <v>4.0999999999999996</v>
      </c>
      <c r="N38" s="70">
        <v>8100</v>
      </c>
      <c r="O38" s="95" t="s">
        <v>61</v>
      </c>
    </row>
    <row r="39" spans="1:16" s="162" customFormat="1" ht="13" x14ac:dyDescent="0.3">
      <c r="A39" s="569"/>
      <c r="B39" s="570"/>
      <c r="C39" s="571"/>
      <c r="D39" s="571"/>
      <c r="E39" s="571"/>
      <c r="F39" s="571"/>
      <c r="G39" s="163"/>
      <c r="H39" s="571"/>
      <c r="I39" s="572"/>
      <c r="J39" s="70"/>
      <c r="K39" s="71"/>
      <c r="L39" s="71"/>
      <c r="M39" s="71"/>
      <c r="N39" s="70"/>
      <c r="O39" s="156"/>
    </row>
    <row r="40" spans="1:16" s="162" customFormat="1" ht="24" x14ac:dyDescent="0.3">
      <c r="A40" s="126" t="s">
        <v>101</v>
      </c>
      <c r="B40" s="115"/>
      <c r="C40" s="137"/>
      <c r="D40" s="138"/>
      <c r="E40" s="139">
        <v>4.92</v>
      </c>
      <c r="F40" s="138"/>
      <c r="G40" s="138"/>
      <c r="H40" s="138"/>
      <c r="I40" s="383" t="s">
        <v>546</v>
      </c>
      <c r="J40" s="62">
        <f>J38</f>
        <v>11</v>
      </c>
      <c r="K40" s="59">
        <v>24.1</v>
      </c>
      <c r="L40" s="59">
        <v>29.8</v>
      </c>
      <c r="M40" s="59">
        <f>L40-K40</f>
        <v>5.6999999999999993</v>
      </c>
      <c r="N40" s="62" t="s">
        <v>134</v>
      </c>
      <c r="O40" s="95" t="s">
        <v>61</v>
      </c>
      <c r="P40" s="95"/>
    </row>
    <row r="41" spans="1:16" s="162" customFormat="1" ht="24" x14ac:dyDescent="0.3">
      <c r="A41" s="126" t="s">
        <v>103</v>
      </c>
      <c r="B41" s="136"/>
      <c r="C41" s="137"/>
      <c r="D41" s="138">
        <v>8.56</v>
      </c>
      <c r="E41" s="163"/>
      <c r="F41" s="138"/>
      <c r="G41" s="138"/>
      <c r="H41" s="138"/>
      <c r="I41" s="383" t="s">
        <v>151</v>
      </c>
      <c r="J41" s="62">
        <f t="shared" si="0"/>
        <v>11</v>
      </c>
      <c r="K41" s="59"/>
      <c r="L41" s="59"/>
      <c r="M41" s="59"/>
      <c r="N41" s="62">
        <v>8700</v>
      </c>
      <c r="O41" s="95" t="s">
        <v>79</v>
      </c>
      <c r="P41" s="95"/>
    </row>
    <row r="42" spans="1:16" s="162" customFormat="1" ht="13" x14ac:dyDescent="0.3">
      <c r="A42" s="155" t="s">
        <v>104</v>
      </c>
      <c r="B42" s="133"/>
      <c r="C42" s="133"/>
      <c r="D42" s="133"/>
      <c r="E42" s="129"/>
      <c r="F42" s="129"/>
      <c r="G42" s="129"/>
      <c r="H42" s="129"/>
      <c r="I42" s="381"/>
      <c r="J42" s="161">
        <f t="shared" si="0"/>
        <v>11</v>
      </c>
      <c r="K42" s="161"/>
      <c r="L42" s="161"/>
      <c r="M42" s="161"/>
      <c r="N42" s="60"/>
      <c r="O42" s="95"/>
      <c r="P42" s="95"/>
    </row>
    <row r="43" spans="1:16" s="162" customFormat="1" ht="13" x14ac:dyDescent="0.3">
      <c r="A43" s="122" t="s">
        <v>105</v>
      </c>
      <c r="B43" s="130"/>
      <c r="C43" s="130">
        <v>1.3</v>
      </c>
      <c r="D43" s="130"/>
      <c r="E43" s="130"/>
      <c r="F43" s="130"/>
      <c r="G43" s="130"/>
      <c r="H43" s="130"/>
      <c r="I43" s="380" t="s">
        <v>106</v>
      </c>
      <c r="J43" s="58">
        <v>1</v>
      </c>
      <c r="K43" s="57"/>
      <c r="L43" s="57"/>
      <c r="M43" s="57"/>
      <c r="N43" s="58">
        <v>6000</v>
      </c>
      <c r="O43" s="95" t="s">
        <v>79</v>
      </c>
    </row>
    <row r="44" spans="1:16" s="162" customFormat="1" ht="26" x14ac:dyDescent="0.3">
      <c r="A44" s="125" t="s">
        <v>547</v>
      </c>
      <c r="B44" s="138"/>
      <c r="C44" s="138"/>
      <c r="D44" s="138"/>
      <c r="E44" s="138"/>
      <c r="F44" s="138"/>
      <c r="G44" s="138">
        <v>1.87</v>
      </c>
      <c r="H44" s="138"/>
      <c r="I44" s="380" t="s">
        <v>548</v>
      </c>
      <c r="J44" s="58"/>
      <c r="K44" s="57"/>
      <c r="L44" s="57"/>
      <c r="M44" s="57">
        <v>3</v>
      </c>
      <c r="N44" s="58"/>
      <c r="O44" s="95" t="s">
        <v>79</v>
      </c>
    </row>
    <row r="45" spans="1:16" s="162" customFormat="1" ht="39.5" thickBot="1" x14ac:dyDescent="0.35">
      <c r="A45" s="125" t="s">
        <v>153</v>
      </c>
      <c r="B45" s="138"/>
      <c r="C45" s="138"/>
      <c r="D45" s="138"/>
      <c r="E45" s="174"/>
      <c r="F45" s="138"/>
      <c r="G45" s="138">
        <v>2</v>
      </c>
      <c r="H45" s="138"/>
      <c r="I45" s="380" t="s">
        <v>154</v>
      </c>
      <c r="J45" s="58">
        <v>11390</v>
      </c>
      <c r="K45" s="57">
        <v>2.6</v>
      </c>
      <c r="L45" s="57">
        <v>4.0999999999999996</v>
      </c>
      <c r="M45" s="57">
        <v>1.5</v>
      </c>
      <c r="N45" s="58">
        <v>15500</v>
      </c>
      <c r="O45" s="95" t="s">
        <v>79</v>
      </c>
      <c r="P45" s="428"/>
    </row>
    <row r="46" spans="1:16" s="95" customFormat="1" ht="13.5" thickBot="1" x14ac:dyDescent="0.35">
      <c r="A46" s="164" t="s">
        <v>107</v>
      </c>
      <c r="B46" s="116">
        <f t="shared" ref="B46:H46" si="1">SUM(B6:B45)</f>
        <v>36.159999999999997</v>
      </c>
      <c r="C46" s="116">
        <f t="shared" si="1"/>
        <v>32.15</v>
      </c>
      <c r="D46" s="116">
        <f t="shared" si="1"/>
        <v>34.061</v>
      </c>
      <c r="E46" s="116">
        <f t="shared" si="1"/>
        <v>65.42</v>
      </c>
      <c r="F46" s="116">
        <f t="shared" si="1"/>
        <v>67.5</v>
      </c>
      <c r="G46" s="116">
        <f t="shared" si="1"/>
        <v>69.87</v>
      </c>
      <c r="H46" s="116">
        <f t="shared" si="1"/>
        <v>48</v>
      </c>
      <c r="I46" s="386"/>
      <c r="J46" s="165"/>
      <c r="K46" s="165"/>
      <c r="L46" s="165"/>
      <c r="M46" s="165"/>
      <c r="N46" s="165"/>
      <c r="O46" s="166"/>
      <c r="P46" s="166"/>
    </row>
    <row r="47" spans="1:16" s="95" customFormat="1" ht="13" x14ac:dyDescent="0.3">
      <c r="A47" s="392" t="s">
        <v>378</v>
      </c>
      <c r="B47" s="573">
        <f>SUMIF($O$6:$O$45,"vana periood",B6:B45)</f>
        <v>20.6</v>
      </c>
      <c r="C47" s="573">
        <f t="shared" ref="C47:H47" si="2">SUMIF($O$6:$O$45,"vana periood",C6:C45)</f>
        <v>20.6</v>
      </c>
      <c r="D47" s="573">
        <f t="shared" si="2"/>
        <v>0</v>
      </c>
      <c r="E47" s="573">
        <f t="shared" si="2"/>
        <v>0</v>
      </c>
      <c r="F47" s="573">
        <f t="shared" si="2"/>
        <v>0</v>
      </c>
      <c r="G47" s="573">
        <f t="shared" si="2"/>
        <v>0</v>
      </c>
      <c r="H47" s="573">
        <f t="shared" si="2"/>
        <v>0</v>
      </c>
      <c r="I47" s="387"/>
      <c r="J47" s="165"/>
      <c r="K47" s="165"/>
      <c r="L47" s="165"/>
      <c r="M47" s="165"/>
      <c r="N47" s="165"/>
      <c r="O47" s="166"/>
      <c r="P47" s="166"/>
    </row>
    <row r="48" spans="1:16" x14ac:dyDescent="0.35">
      <c r="A48" s="154" t="s">
        <v>376</v>
      </c>
      <c r="B48" s="574">
        <f t="shared" ref="B48:H48" si="3">SUMIF($O$6:$O$45,"uus periood",B6:B45)</f>
        <v>6.5600000000000005</v>
      </c>
      <c r="C48" s="574">
        <f t="shared" si="3"/>
        <v>10.25</v>
      </c>
      <c r="D48" s="574">
        <f t="shared" si="3"/>
        <v>22.5</v>
      </c>
      <c r="E48" s="574">
        <f t="shared" si="3"/>
        <v>56.92</v>
      </c>
      <c r="F48" s="574">
        <f t="shared" si="3"/>
        <v>53.5</v>
      </c>
      <c r="G48" s="574">
        <f t="shared" si="3"/>
        <v>27.2</v>
      </c>
      <c r="H48" s="574">
        <f t="shared" si="3"/>
        <v>0</v>
      </c>
      <c r="I48" s="584"/>
    </row>
    <row r="49" spans="1:8" x14ac:dyDescent="0.35">
      <c r="A49" s="389" t="s">
        <v>377</v>
      </c>
      <c r="B49" s="575">
        <f>SUMIF($O$6:$O$45,"eesti raha",B6:B45)</f>
        <v>9</v>
      </c>
      <c r="C49" s="575">
        <f t="shared" ref="C49:H49" si="4">SUMIF($O$6:$O$45,"eesti raha",C6:C45)</f>
        <v>1.3</v>
      </c>
      <c r="D49" s="575">
        <f t="shared" si="4"/>
        <v>11.561</v>
      </c>
      <c r="E49" s="575">
        <f t="shared" si="4"/>
        <v>8.5</v>
      </c>
      <c r="F49" s="575">
        <f t="shared" si="4"/>
        <v>14</v>
      </c>
      <c r="G49" s="575">
        <f t="shared" si="4"/>
        <v>42.669999999999995</v>
      </c>
      <c r="H49" s="575">
        <f t="shared" si="4"/>
        <v>48</v>
      </c>
    </row>
    <row r="50" spans="1:8" x14ac:dyDescent="0.35">
      <c r="B50" s="574">
        <f>SUM(B47:B49)</f>
        <v>36.160000000000004</v>
      </c>
      <c r="C50" s="574">
        <f t="shared" ref="C50:H50" si="5">SUM(C47:C49)</f>
        <v>32.15</v>
      </c>
      <c r="D50" s="574">
        <f t="shared" si="5"/>
        <v>34.061</v>
      </c>
      <c r="E50" s="574">
        <f t="shared" si="5"/>
        <v>65.42</v>
      </c>
      <c r="F50" s="574">
        <f t="shared" si="5"/>
        <v>67.5</v>
      </c>
      <c r="G50" s="574">
        <f t="shared" si="5"/>
        <v>69.86999999999999</v>
      </c>
      <c r="H50" s="574">
        <f t="shared" si="5"/>
        <v>48</v>
      </c>
    </row>
    <row r="51" spans="1:8" x14ac:dyDescent="0.35">
      <c r="A51" s="154" t="s">
        <v>379</v>
      </c>
      <c r="B51" s="574">
        <f>(B47+B48)*0.85</f>
        <v>23.086000000000002</v>
      </c>
      <c r="C51" s="574">
        <f t="shared" ref="C51:H51" si="6">(C47+C48)*0.85</f>
        <v>26.2225</v>
      </c>
      <c r="D51" s="574">
        <f t="shared" si="6"/>
        <v>19.125</v>
      </c>
      <c r="E51" s="574">
        <f t="shared" si="6"/>
        <v>48.381999999999998</v>
      </c>
      <c r="F51" s="574">
        <f t="shared" si="6"/>
        <v>45.475000000000001</v>
      </c>
      <c r="G51" s="574">
        <f t="shared" si="6"/>
        <v>23.119999999999997</v>
      </c>
      <c r="H51" s="574">
        <f t="shared" si="6"/>
        <v>0</v>
      </c>
    </row>
    <row r="52" spans="1:8" x14ac:dyDescent="0.35">
      <c r="B52" s="574"/>
      <c r="C52" s="574"/>
      <c r="D52" s="574"/>
      <c r="E52" s="574"/>
      <c r="F52" s="574"/>
      <c r="G52" s="574"/>
      <c r="H52" s="574"/>
    </row>
    <row r="53" spans="1:8" x14ac:dyDescent="0.35">
      <c r="A53" s="576" t="s">
        <v>549</v>
      </c>
      <c r="B53" s="577">
        <f>+(B47+B48)*0.85</f>
        <v>23.086000000000002</v>
      </c>
      <c r="C53" s="577">
        <f t="shared" ref="C53:H53" si="7">+(C47+C48)*0.85</f>
        <v>26.2225</v>
      </c>
      <c r="D53" s="577">
        <f t="shared" si="7"/>
        <v>19.125</v>
      </c>
      <c r="E53" s="577">
        <f t="shared" si="7"/>
        <v>48.381999999999998</v>
      </c>
      <c r="F53" s="577">
        <f t="shared" si="7"/>
        <v>45.475000000000001</v>
      </c>
      <c r="G53" s="577">
        <f t="shared" si="7"/>
        <v>23.119999999999997</v>
      </c>
      <c r="H53" s="577">
        <f t="shared" si="7"/>
        <v>0</v>
      </c>
    </row>
    <row r="54" spans="1:8" x14ac:dyDescent="0.35">
      <c r="A54" s="576" t="s">
        <v>550</v>
      </c>
      <c r="B54" s="577">
        <f>+(B47+B48)*0.15</f>
        <v>4.0740000000000007</v>
      </c>
      <c r="C54" s="577">
        <f t="shared" ref="C54:H54" si="8">+(C47+C48)*0.15</f>
        <v>4.6275000000000004</v>
      </c>
      <c r="D54" s="577">
        <f t="shared" si="8"/>
        <v>3.375</v>
      </c>
      <c r="E54" s="577">
        <f t="shared" si="8"/>
        <v>8.5380000000000003</v>
      </c>
      <c r="F54" s="577">
        <f t="shared" si="8"/>
        <v>8.0250000000000004</v>
      </c>
      <c r="G54" s="577">
        <f t="shared" si="8"/>
        <v>4.08</v>
      </c>
      <c r="H54" s="577">
        <f t="shared" si="8"/>
        <v>0</v>
      </c>
    </row>
    <row r="55" spans="1:8" x14ac:dyDescent="0.35">
      <c r="A55" s="578" t="s">
        <v>551</v>
      </c>
      <c r="B55" s="579">
        <f>+B49</f>
        <v>9</v>
      </c>
      <c r="C55" s="579">
        <f t="shared" ref="C55:H55" si="9">+C49</f>
        <v>1.3</v>
      </c>
      <c r="D55" s="579">
        <f t="shared" si="9"/>
        <v>11.561</v>
      </c>
      <c r="E55" s="579">
        <f t="shared" si="9"/>
        <v>8.5</v>
      </c>
      <c r="F55" s="579">
        <f t="shared" si="9"/>
        <v>14</v>
      </c>
      <c r="G55" s="579">
        <f t="shared" si="9"/>
        <v>42.669999999999995</v>
      </c>
      <c r="H55" s="579">
        <f t="shared" si="9"/>
        <v>48</v>
      </c>
    </row>
    <row r="56" spans="1:8" x14ac:dyDescent="0.35">
      <c r="A56" s="576" t="s">
        <v>107</v>
      </c>
      <c r="B56" s="577">
        <f>+B55+B54+B53</f>
        <v>36.160000000000004</v>
      </c>
      <c r="C56" s="577">
        <f t="shared" ref="C56:H56" si="10">+C55+C54+C53</f>
        <v>32.15</v>
      </c>
      <c r="D56" s="577">
        <f t="shared" si="10"/>
        <v>34.061</v>
      </c>
      <c r="E56" s="577">
        <f t="shared" si="10"/>
        <v>65.42</v>
      </c>
      <c r="F56" s="577">
        <f t="shared" si="10"/>
        <v>67.5</v>
      </c>
      <c r="G56" s="577">
        <f t="shared" si="10"/>
        <v>69.86999999999999</v>
      </c>
      <c r="H56" s="577">
        <f t="shared" si="10"/>
        <v>48</v>
      </c>
    </row>
    <row r="58" spans="1:8" x14ac:dyDescent="0.35">
      <c r="A58" s="154" t="s">
        <v>552</v>
      </c>
      <c r="B58" s="574">
        <f t="shared" ref="B58:H58" si="11">+B46-B56</f>
        <v>0</v>
      </c>
      <c r="C58" s="574">
        <f t="shared" si="11"/>
        <v>0</v>
      </c>
      <c r="D58" s="574">
        <f t="shared" si="11"/>
        <v>0</v>
      </c>
      <c r="E58" s="574">
        <f t="shared" si="11"/>
        <v>0</v>
      </c>
      <c r="F58" s="574">
        <f t="shared" si="11"/>
        <v>0</v>
      </c>
      <c r="G58" s="574">
        <f t="shared" si="11"/>
        <v>0</v>
      </c>
      <c r="H58" s="574">
        <f t="shared" si="11"/>
        <v>0</v>
      </c>
    </row>
  </sheetData>
  <autoFilter ref="A4:O51" xr:uid="{00000000-0009-0000-0000-000013000000}"/>
  <mergeCells count="7">
    <mergeCell ref="N2:N3"/>
    <mergeCell ref="B2:H2"/>
    <mergeCell ref="I2:I3"/>
    <mergeCell ref="J2:J3"/>
    <mergeCell ref="K2:K3"/>
    <mergeCell ref="L2:L3"/>
    <mergeCell ref="M2:M3"/>
  </mergeCells>
  <pageMargins left="0.19685039370078741" right="0.11811023622047245" top="0.15748031496062992" bottom="0.15748031496062992" header="0.31496062992125984" footer="0.31496062992125984"/>
  <pageSetup paperSize="9" scale="59" orientation="portrait" r:id="rId1"/>
  <customProperties>
    <customPr name="EpmWorksheetKeyString_GUID" r:id="rId2"/>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IU52"/>
  <sheetViews>
    <sheetView zoomScaleNormal="100" workbookViewId="0">
      <pane xSplit="1" ySplit="5" topLeftCell="B24" activePane="bottomRight" state="frozen"/>
      <selection activeCell="N31" activeCellId="1" sqref="M34 N31"/>
      <selection pane="topRight" activeCell="N31" activeCellId="1" sqref="M34 N31"/>
      <selection pane="bottomLeft" activeCell="N31" activeCellId="1" sqref="M34 N31"/>
      <selection pane="bottomRight" activeCell="N31" activeCellId="1" sqref="M34 N31"/>
    </sheetView>
  </sheetViews>
  <sheetFormatPr defaultColWidth="14.7265625" defaultRowHeight="13" x14ac:dyDescent="0.3"/>
  <cols>
    <col min="1" max="1" width="21.7265625" style="256" customWidth="1"/>
    <col min="2" max="2" width="9.26953125" style="258" hidden="1" customWidth="1"/>
    <col min="3" max="4" width="6.26953125" style="258" hidden="1" customWidth="1"/>
    <col min="5" max="14" width="6.26953125" style="259" customWidth="1"/>
    <col min="15" max="15" width="48.7265625" style="260" customWidth="1"/>
    <col min="16" max="17" width="5.453125" style="261" bestFit="1" customWidth="1"/>
    <col min="18" max="18" width="5.7265625" style="261" bestFit="1" customWidth="1"/>
    <col min="19" max="19" width="10.81640625" style="261" customWidth="1"/>
    <col min="20" max="20" width="18.54296875" style="217" customWidth="1"/>
    <col min="21" max="247" width="8.7265625" style="217" customWidth="1"/>
    <col min="248" max="248" width="39.7265625" style="217" customWidth="1"/>
    <col min="249" max="251" width="6.1796875" style="217" customWidth="1"/>
    <col min="252" max="252" width="8.453125" style="217" bestFit="1" customWidth="1"/>
    <col min="253" max="253" width="12.54296875" style="217" bestFit="1" customWidth="1"/>
    <col min="254" max="254" width="27.26953125" style="217" bestFit="1" customWidth="1"/>
    <col min="255" max="255" width="9.1796875" style="217" customWidth="1"/>
    <col min="256" max="256" width="14.7265625" style="217"/>
    <col min="257" max="257" width="32.81640625" style="217" customWidth="1"/>
    <col min="258" max="261" width="5.54296875" style="217" customWidth="1"/>
    <col min="262" max="262" width="7" style="217" customWidth="1"/>
    <col min="263" max="270" width="5.54296875" style="217" customWidth="1"/>
    <col min="271" max="271" width="55" style="217" customWidth="1"/>
    <col min="272" max="272" width="8.7265625" style="217" customWidth="1"/>
    <col min="273" max="273" width="8.1796875" style="217" customWidth="1"/>
    <col min="274" max="274" width="7.1796875" style="217" customWidth="1"/>
    <col min="275" max="275" width="16.54296875" style="217" bestFit="1" customWidth="1"/>
    <col min="276" max="276" width="18.54296875" style="217" customWidth="1"/>
    <col min="277" max="503" width="8.7265625" style="217" customWidth="1"/>
    <col min="504" max="504" width="39.7265625" style="217" customWidth="1"/>
    <col min="505" max="507" width="6.1796875" style="217" customWidth="1"/>
    <col min="508" max="508" width="8.453125" style="217" bestFit="1" customWidth="1"/>
    <col min="509" max="509" width="12.54296875" style="217" bestFit="1" customWidth="1"/>
    <col min="510" max="510" width="27.26953125" style="217" bestFit="1" customWidth="1"/>
    <col min="511" max="511" width="9.1796875" style="217" customWidth="1"/>
    <col min="512" max="512" width="14.7265625" style="217"/>
    <col min="513" max="513" width="32.81640625" style="217" customWidth="1"/>
    <col min="514" max="517" width="5.54296875" style="217" customWidth="1"/>
    <col min="518" max="518" width="7" style="217" customWidth="1"/>
    <col min="519" max="526" width="5.54296875" style="217" customWidth="1"/>
    <col min="527" max="527" width="55" style="217" customWidth="1"/>
    <col min="528" max="528" width="8.7265625" style="217" customWidth="1"/>
    <col min="529" max="529" width="8.1796875" style="217" customWidth="1"/>
    <col min="530" max="530" width="7.1796875" style="217" customWidth="1"/>
    <col min="531" max="531" width="16.54296875" style="217" bestFit="1" customWidth="1"/>
    <col min="532" max="532" width="18.54296875" style="217" customWidth="1"/>
    <col min="533" max="759" width="8.7265625" style="217" customWidth="1"/>
    <col min="760" max="760" width="39.7265625" style="217" customWidth="1"/>
    <col min="761" max="763" width="6.1796875" style="217" customWidth="1"/>
    <col min="764" max="764" width="8.453125" style="217" bestFit="1" customWidth="1"/>
    <col min="765" max="765" width="12.54296875" style="217" bestFit="1" customWidth="1"/>
    <col min="766" max="766" width="27.26953125" style="217" bestFit="1" customWidth="1"/>
    <col min="767" max="767" width="9.1796875" style="217" customWidth="1"/>
    <col min="768" max="768" width="14.7265625" style="217"/>
    <col min="769" max="769" width="32.81640625" style="217" customWidth="1"/>
    <col min="770" max="773" width="5.54296875" style="217" customWidth="1"/>
    <col min="774" max="774" width="7" style="217" customWidth="1"/>
    <col min="775" max="782" width="5.54296875" style="217" customWidth="1"/>
    <col min="783" max="783" width="55" style="217" customWidth="1"/>
    <col min="784" max="784" width="8.7265625" style="217" customWidth="1"/>
    <col min="785" max="785" width="8.1796875" style="217" customWidth="1"/>
    <col min="786" max="786" width="7.1796875" style="217" customWidth="1"/>
    <col min="787" max="787" width="16.54296875" style="217" bestFit="1" customWidth="1"/>
    <col min="788" max="788" width="18.54296875" style="217" customWidth="1"/>
    <col min="789" max="1015" width="8.7265625" style="217" customWidth="1"/>
    <col min="1016" max="1016" width="39.7265625" style="217" customWidth="1"/>
    <col min="1017" max="1019" width="6.1796875" style="217" customWidth="1"/>
    <col min="1020" max="1020" width="8.453125" style="217" bestFit="1" customWidth="1"/>
    <col min="1021" max="1021" width="12.54296875" style="217" bestFit="1" customWidth="1"/>
    <col min="1022" max="1022" width="27.26953125" style="217" bestFit="1" customWidth="1"/>
    <col min="1023" max="1023" width="9.1796875" style="217" customWidth="1"/>
    <col min="1024" max="1024" width="14.7265625" style="217"/>
    <col min="1025" max="1025" width="32.81640625" style="217" customWidth="1"/>
    <col min="1026" max="1029" width="5.54296875" style="217" customWidth="1"/>
    <col min="1030" max="1030" width="7" style="217" customWidth="1"/>
    <col min="1031" max="1038" width="5.54296875" style="217" customWidth="1"/>
    <col min="1039" max="1039" width="55" style="217" customWidth="1"/>
    <col min="1040" max="1040" width="8.7265625" style="217" customWidth="1"/>
    <col min="1041" max="1041" width="8.1796875" style="217" customWidth="1"/>
    <col min="1042" max="1042" width="7.1796875" style="217" customWidth="1"/>
    <col min="1043" max="1043" width="16.54296875" style="217" bestFit="1" customWidth="1"/>
    <col min="1044" max="1044" width="18.54296875" style="217" customWidth="1"/>
    <col min="1045" max="1271" width="8.7265625" style="217" customWidth="1"/>
    <col min="1272" max="1272" width="39.7265625" style="217" customWidth="1"/>
    <col min="1273" max="1275" width="6.1796875" style="217" customWidth="1"/>
    <col min="1276" max="1276" width="8.453125" style="217" bestFit="1" customWidth="1"/>
    <col min="1277" max="1277" width="12.54296875" style="217" bestFit="1" customWidth="1"/>
    <col min="1278" max="1278" width="27.26953125" style="217" bestFit="1" customWidth="1"/>
    <col min="1279" max="1279" width="9.1796875" style="217" customWidth="1"/>
    <col min="1280" max="1280" width="14.7265625" style="217"/>
    <col min="1281" max="1281" width="32.81640625" style="217" customWidth="1"/>
    <col min="1282" max="1285" width="5.54296875" style="217" customWidth="1"/>
    <col min="1286" max="1286" width="7" style="217" customWidth="1"/>
    <col min="1287" max="1294" width="5.54296875" style="217" customWidth="1"/>
    <col min="1295" max="1295" width="55" style="217" customWidth="1"/>
    <col min="1296" max="1296" width="8.7265625" style="217" customWidth="1"/>
    <col min="1297" max="1297" width="8.1796875" style="217" customWidth="1"/>
    <col min="1298" max="1298" width="7.1796875" style="217" customWidth="1"/>
    <col min="1299" max="1299" width="16.54296875" style="217" bestFit="1" customWidth="1"/>
    <col min="1300" max="1300" width="18.54296875" style="217" customWidth="1"/>
    <col min="1301" max="1527" width="8.7265625" style="217" customWidth="1"/>
    <col min="1528" max="1528" width="39.7265625" style="217" customWidth="1"/>
    <col min="1529" max="1531" width="6.1796875" style="217" customWidth="1"/>
    <col min="1532" max="1532" width="8.453125" style="217" bestFit="1" customWidth="1"/>
    <col min="1533" max="1533" width="12.54296875" style="217" bestFit="1" customWidth="1"/>
    <col min="1534" max="1534" width="27.26953125" style="217" bestFit="1" customWidth="1"/>
    <col min="1535" max="1535" width="9.1796875" style="217" customWidth="1"/>
    <col min="1536" max="1536" width="14.7265625" style="217"/>
    <col min="1537" max="1537" width="32.81640625" style="217" customWidth="1"/>
    <col min="1538" max="1541" width="5.54296875" style="217" customWidth="1"/>
    <col min="1542" max="1542" width="7" style="217" customWidth="1"/>
    <col min="1543" max="1550" width="5.54296875" style="217" customWidth="1"/>
    <col min="1551" max="1551" width="55" style="217" customWidth="1"/>
    <col min="1552" max="1552" width="8.7265625" style="217" customWidth="1"/>
    <col min="1553" max="1553" width="8.1796875" style="217" customWidth="1"/>
    <col min="1554" max="1554" width="7.1796875" style="217" customWidth="1"/>
    <col min="1555" max="1555" width="16.54296875" style="217" bestFit="1" customWidth="1"/>
    <col min="1556" max="1556" width="18.54296875" style="217" customWidth="1"/>
    <col min="1557" max="1783" width="8.7265625" style="217" customWidth="1"/>
    <col min="1784" max="1784" width="39.7265625" style="217" customWidth="1"/>
    <col min="1785" max="1787" width="6.1796875" style="217" customWidth="1"/>
    <col min="1788" max="1788" width="8.453125" style="217" bestFit="1" customWidth="1"/>
    <col min="1789" max="1789" width="12.54296875" style="217" bestFit="1" customWidth="1"/>
    <col min="1790" max="1790" width="27.26953125" style="217" bestFit="1" customWidth="1"/>
    <col min="1791" max="1791" width="9.1796875" style="217" customWidth="1"/>
    <col min="1792" max="1792" width="14.7265625" style="217"/>
    <col min="1793" max="1793" width="32.81640625" style="217" customWidth="1"/>
    <col min="1794" max="1797" width="5.54296875" style="217" customWidth="1"/>
    <col min="1798" max="1798" width="7" style="217" customWidth="1"/>
    <col min="1799" max="1806" width="5.54296875" style="217" customWidth="1"/>
    <col min="1807" max="1807" width="55" style="217" customWidth="1"/>
    <col min="1808" max="1808" width="8.7265625" style="217" customWidth="1"/>
    <col min="1809" max="1809" width="8.1796875" style="217" customWidth="1"/>
    <col min="1810" max="1810" width="7.1796875" style="217" customWidth="1"/>
    <col min="1811" max="1811" width="16.54296875" style="217" bestFit="1" customWidth="1"/>
    <col min="1812" max="1812" width="18.54296875" style="217" customWidth="1"/>
    <col min="1813" max="2039" width="8.7265625" style="217" customWidth="1"/>
    <col min="2040" max="2040" width="39.7265625" style="217" customWidth="1"/>
    <col min="2041" max="2043" width="6.1796875" style="217" customWidth="1"/>
    <col min="2044" max="2044" width="8.453125" style="217" bestFit="1" customWidth="1"/>
    <col min="2045" max="2045" width="12.54296875" style="217" bestFit="1" customWidth="1"/>
    <col min="2046" max="2046" width="27.26953125" style="217" bestFit="1" customWidth="1"/>
    <col min="2047" max="2047" width="9.1796875" style="217" customWidth="1"/>
    <col min="2048" max="2048" width="14.7265625" style="217"/>
    <col min="2049" max="2049" width="32.81640625" style="217" customWidth="1"/>
    <col min="2050" max="2053" width="5.54296875" style="217" customWidth="1"/>
    <col min="2054" max="2054" width="7" style="217" customWidth="1"/>
    <col min="2055" max="2062" width="5.54296875" style="217" customWidth="1"/>
    <col min="2063" max="2063" width="55" style="217" customWidth="1"/>
    <col min="2064" max="2064" width="8.7265625" style="217" customWidth="1"/>
    <col min="2065" max="2065" width="8.1796875" style="217" customWidth="1"/>
    <col min="2066" max="2066" width="7.1796875" style="217" customWidth="1"/>
    <col min="2067" max="2067" width="16.54296875" style="217" bestFit="1" customWidth="1"/>
    <col min="2068" max="2068" width="18.54296875" style="217" customWidth="1"/>
    <col min="2069" max="2295" width="8.7265625" style="217" customWidth="1"/>
    <col min="2296" max="2296" width="39.7265625" style="217" customWidth="1"/>
    <col min="2297" max="2299" width="6.1796875" style="217" customWidth="1"/>
    <col min="2300" max="2300" width="8.453125" style="217" bestFit="1" customWidth="1"/>
    <col min="2301" max="2301" width="12.54296875" style="217" bestFit="1" customWidth="1"/>
    <col min="2302" max="2302" width="27.26953125" style="217" bestFit="1" customWidth="1"/>
    <col min="2303" max="2303" width="9.1796875" style="217" customWidth="1"/>
    <col min="2304" max="2304" width="14.7265625" style="217"/>
    <col min="2305" max="2305" width="32.81640625" style="217" customWidth="1"/>
    <col min="2306" max="2309" width="5.54296875" style="217" customWidth="1"/>
    <col min="2310" max="2310" width="7" style="217" customWidth="1"/>
    <col min="2311" max="2318" width="5.54296875" style="217" customWidth="1"/>
    <col min="2319" max="2319" width="55" style="217" customWidth="1"/>
    <col min="2320" max="2320" width="8.7265625" style="217" customWidth="1"/>
    <col min="2321" max="2321" width="8.1796875" style="217" customWidth="1"/>
    <col min="2322" max="2322" width="7.1796875" style="217" customWidth="1"/>
    <col min="2323" max="2323" width="16.54296875" style="217" bestFit="1" customWidth="1"/>
    <col min="2324" max="2324" width="18.54296875" style="217" customWidth="1"/>
    <col min="2325" max="2551" width="8.7265625" style="217" customWidth="1"/>
    <col min="2552" max="2552" width="39.7265625" style="217" customWidth="1"/>
    <col min="2553" max="2555" width="6.1796875" style="217" customWidth="1"/>
    <col min="2556" max="2556" width="8.453125" style="217" bestFit="1" customWidth="1"/>
    <col min="2557" max="2557" width="12.54296875" style="217" bestFit="1" customWidth="1"/>
    <col min="2558" max="2558" width="27.26953125" style="217" bestFit="1" customWidth="1"/>
    <col min="2559" max="2559" width="9.1796875" style="217" customWidth="1"/>
    <col min="2560" max="2560" width="14.7265625" style="217"/>
    <col min="2561" max="2561" width="32.81640625" style="217" customWidth="1"/>
    <col min="2562" max="2565" width="5.54296875" style="217" customWidth="1"/>
    <col min="2566" max="2566" width="7" style="217" customWidth="1"/>
    <col min="2567" max="2574" width="5.54296875" style="217" customWidth="1"/>
    <col min="2575" max="2575" width="55" style="217" customWidth="1"/>
    <col min="2576" max="2576" width="8.7265625" style="217" customWidth="1"/>
    <col min="2577" max="2577" width="8.1796875" style="217" customWidth="1"/>
    <col min="2578" max="2578" width="7.1796875" style="217" customWidth="1"/>
    <col min="2579" max="2579" width="16.54296875" style="217" bestFit="1" customWidth="1"/>
    <col min="2580" max="2580" width="18.54296875" style="217" customWidth="1"/>
    <col min="2581" max="2807" width="8.7265625" style="217" customWidth="1"/>
    <col min="2808" max="2808" width="39.7265625" style="217" customWidth="1"/>
    <col min="2809" max="2811" width="6.1796875" style="217" customWidth="1"/>
    <col min="2812" max="2812" width="8.453125" style="217" bestFit="1" customWidth="1"/>
    <col min="2813" max="2813" width="12.54296875" style="217" bestFit="1" customWidth="1"/>
    <col min="2814" max="2814" width="27.26953125" style="217" bestFit="1" customWidth="1"/>
    <col min="2815" max="2815" width="9.1796875" style="217" customWidth="1"/>
    <col min="2816" max="2816" width="14.7265625" style="217"/>
    <col min="2817" max="2817" width="32.81640625" style="217" customWidth="1"/>
    <col min="2818" max="2821" width="5.54296875" style="217" customWidth="1"/>
    <col min="2822" max="2822" width="7" style="217" customWidth="1"/>
    <col min="2823" max="2830" width="5.54296875" style="217" customWidth="1"/>
    <col min="2831" max="2831" width="55" style="217" customWidth="1"/>
    <col min="2832" max="2832" width="8.7265625" style="217" customWidth="1"/>
    <col min="2833" max="2833" width="8.1796875" style="217" customWidth="1"/>
    <col min="2834" max="2834" width="7.1796875" style="217" customWidth="1"/>
    <col min="2835" max="2835" width="16.54296875" style="217" bestFit="1" customWidth="1"/>
    <col min="2836" max="2836" width="18.54296875" style="217" customWidth="1"/>
    <col min="2837" max="3063" width="8.7265625" style="217" customWidth="1"/>
    <col min="3064" max="3064" width="39.7265625" style="217" customWidth="1"/>
    <col min="3065" max="3067" width="6.1796875" style="217" customWidth="1"/>
    <col min="3068" max="3068" width="8.453125" style="217" bestFit="1" customWidth="1"/>
    <col min="3069" max="3069" width="12.54296875" style="217" bestFit="1" customWidth="1"/>
    <col min="3070" max="3070" width="27.26953125" style="217" bestFit="1" customWidth="1"/>
    <col min="3071" max="3071" width="9.1796875" style="217" customWidth="1"/>
    <col min="3072" max="3072" width="14.7265625" style="217"/>
    <col min="3073" max="3073" width="32.81640625" style="217" customWidth="1"/>
    <col min="3074" max="3077" width="5.54296875" style="217" customWidth="1"/>
    <col min="3078" max="3078" width="7" style="217" customWidth="1"/>
    <col min="3079" max="3086" width="5.54296875" style="217" customWidth="1"/>
    <col min="3087" max="3087" width="55" style="217" customWidth="1"/>
    <col min="3088" max="3088" width="8.7265625" style="217" customWidth="1"/>
    <col min="3089" max="3089" width="8.1796875" style="217" customWidth="1"/>
    <col min="3090" max="3090" width="7.1796875" style="217" customWidth="1"/>
    <col min="3091" max="3091" width="16.54296875" style="217" bestFit="1" customWidth="1"/>
    <col min="3092" max="3092" width="18.54296875" style="217" customWidth="1"/>
    <col min="3093" max="3319" width="8.7265625" style="217" customWidth="1"/>
    <col min="3320" max="3320" width="39.7265625" style="217" customWidth="1"/>
    <col min="3321" max="3323" width="6.1796875" style="217" customWidth="1"/>
    <col min="3324" max="3324" width="8.453125" style="217" bestFit="1" customWidth="1"/>
    <col min="3325" max="3325" width="12.54296875" style="217" bestFit="1" customWidth="1"/>
    <col min="3326" max="3326" width="27.26953125" style="217" bestFit="1" customWidth="1"/>
    <col min="3327" max="3327" width="9.1796875" style="217" customWidth="1"/>
    <col min="3328" max="3328" width="14.7265625" style="217"/>
    <col min="3329" max="3329" width="32.81640625" style="217" customWidth="1"/>
    <col min="3330" max="3333" width="5.54296875" style="217" customWidth="1"/>
    <col min="3334" max="3334" width="7" style="217" customWidth="1"/>
    <col min="3335" max="3342" width="5.54296875" style="217" customWidth="1"/>
    <col min="3343" max="3343" width="55" style="217" customWidth="1"/>
    <col min="3344" max="3344" width="8.7265625" style="217" customWidth="1"/>
    <col min="3345" max="3345" width="8.1796875" style="217" customWidth="1"/>
    <col min="3346" max="3346" width="7.1796875" style="217" customWidth="1"/>
    <col min="3347" max="3347" width="16.54296875" style="217" bestFit="1" customWidth="1"/>
    <col min="3348" max="3348" width="18.54296875" style="217" customWidth="1"/>
    <col min="3349" max="3575" width="8.7265625" style="217" customWidth="1"/>
    <col min="3576" max="3576" width="39.7265625" style="217" customWidth="1"/>
    <col min="3577" max="3579" width="6.1796875" style="217" customWidth="1"/>
    <col min="3580" max="3580" width="8.453125" style="217" bestFit="1" customWidth="1"/>
    <col min="3581" max="3581" width="12.54296875" style="217" bestFit="1" customWidth="1"/>
    <col min="3582" max="3582" width="27.26953125" style="217" bestFit="1" customWidth="1"/>
    <col min="3583" max="3583" width="9.1796875" style="217" customWidth="1"/>
    <col min="3584" max="3584" width="14.7265625" style="217"/>
    <col min="3585" max="3585" width="32.81640625" style="217" customWidth="1"/>
    <col min="3586" max="3589" width="5.54296875" style="217" customWidth="1"/>
    <col min="3590" max="3590" width="7" style="217" customWidth="1"/>
    <col min="3591" max="3598" width="5.54296875" style="217" customWidth="1"/>
    <col min="3599" max="3599" width="55" style="217" customWidth="1"/>
    <col min="3600" max="3600" width="8.7265625" style="217" customWidth="1"/>
    <col min="3601" max="3601" width="8.1796875" style="217" customWidth="1"/>
    <col min="3602" max="3602" width="7.1796875" style="217" customWidth="1"/>
    <col min="3603" max="3603" width="16.54296875" style="217" bestFit="1" customWidth="1"/>
    <col min="3604" max="3604" width="18.54296875" style="217" customWidth="1"/>
    <col min="3605" max="3831" width="8.7265625" style="217" customWidth="1"/>
    <col min="3832" max="3832" width="39.7265625" style="217" customWidth="1"/>
    <col min="3833" max="3835" width="6.1796875" style="217" customWidth="1"/>
    <col min="3836" max="3836" width="8.453125" style="217" bestFit="1" customWidth="1"/>
    <col min="3837" max="3837" width="12.54296875" style="217" bestFit="1" customWidth="1"/>
    <col min="3838" max="3838" width="27.26953125" style="217" bestFit="1" customWidth="1"/>
    <col min="3839" max="3839" width="9.1796875" style="217" customWidth="1"/>
    <col min="3840" max="3840" width="14.7265625" style="217"/>
    <col min="3841" max="3841" width="32.81640625" style="217" customWidth="1"/>
    <col min="3842" max="3845" width="5.54296875" style="217" customWidth="1"/>
    <col min="3846" max="3846" width="7" style="217" customWidth="1"/>
    <col min="3847" max="3854" width="5.54296875" style="217" customWidth="1"/>
    <col min="3855" max="3855" width="55" style="217" customWidth="1"/>
    <col min="3856" max="3856" width="8.7265625" style="217" customWidth="1"/>
    <col min="3857" max="3857" width="8.1796875" style="217" customWidth="1"/>
    <col min="3858" max="3858" width="7.1796875" style="217" customWidth="1"/>
    <col min="3859" max="3859" width="16.54296875" style="217" bestFit="1" customWidth="1"/>
    <col min="3860" max="3860" width="18.54296875" style="217" customWidth="1"/>
    <col min="3861" max="4087" width="8.7265625" style="217" customWidth="1"/>
    <col min="4088" max="4088" width="39.7265625" style="217" customWidth="1"/>
    <col min="4089" max="4091" width="6.1796875" style="217" customWidth="1"/>
    <col min="4092" max="4092" width="8.453125" style="217" bestFit="1" customWidth="1"/>
    <col min="4093" max="4093" width="12.54296875" style="217" bestFit="1" customWidth="1"/>
    <col min="4094" max="4094" width="27.26953125" style="217" bestFit="1" customWidth="1"/>
    <col min="4095" max="4095" width="9.1796875" style="217" customWidth="1"/>
    <col min="4096" max="4096" width="14.7265625" style="217"/>
    <col min="4097" max="4097" width="32.81640625" style="217" customWidth="1"/>
    <col min="4098" max="4101" width="5.54296875" style="217" customWidth="1"/>
    <col min="4102" max="4102" width="7" style="217" customWidth="1"/>
    <col min="4103" max="4110" width="5.54296875" style="217" customWidth="1"/>
    <col min="4111" max="4111" width="55" style="217" customWidth="1"/>
    <col min="4112" max="4112" width="8.7265625" style="217" customWidth="1"/>
    <col min="4113" max="4113" width="8.1796875" style="217" customWidth="1"/>
    <col min="4114" max="4114" width="7.1796875" style="217" customWidth="1"/>
    <col min="4115" max="4115" width="16.54296875" style="217" bestFit="1" customWidth="1"/>
    <col min="4116" max="4116" width="18.54296875" style="217" customWidth="1"/>
    <col min="4117" max="4343" width="8.7265625" style="217" customWidth="1"/>
    <col min="4344" max="4344" width="39.7265625" style="217" customWidth="1"/>
    <col min="4345" max="4347" width="6.1796875" style="217" customWidth="1"/>
    <col min="4348" max="4348" width="8.453125" style="217" bestFit="1" customWidth="1"/>
    <col min="4349" max="4349" width="12.54296875" style="217" bestFit="1" customWidth="1"/>
    <col min="4350" max="4350" width="27.26953125" style="217" bestFit="1" customWidth="1"/>
    <col min="4351" max="4351" width="9.1796875" style="217" customWidth="1"/>
    <col min="4352" max="4352" width="14.7265625" style="217"/>
    <col min="4353" max="4353" width="32.81640625" style="217" customWidth="1"/>
    <col min="4354" max="4357" width="5.54296875" style="217" customWidth="1"/>
    <col min="4358" max="4358" width="7" style="217" customWidth="1"/>
    <col min="4359" max="4366" width="5.54296875" style="217" customWidth="1"/>
    <col min="4367" max="4367" width="55" style="217" customWidth="1"/>
    <col min="4368" max="4368" width="8.7265625" style="217" customWidth="1"/>
    <col min="4369" max="4369" width="8.1796875" style="217" customWidth="1"/>
    <col min="4370" max="4370" width="7.1796875" style="217" customWidth="1"/>
    <col min="4371" max="4371" width="16.54296875" style="217" bestFit="1" customWidth="1"/>
    <col min="4372" max="4372" width="18.54296875" style="217" customWidth="1"/>
    <col min="4373" max="4599" width="8.7265625" style="217" customWidth="1"/>
    <col min="4600" max="4600" width="39.7265625" style="217" customWidth="1"/>
    <col min="4601" max="4603" width="6.1796875" style="217" customWidth="1"/>
    <col min="4604" max="4604" width="8.453125" style="217" bestFit="1" customWidth="1"/>
    <col min="4605" max="4605" width="12.54296875" style="217" bestFit="1" customWidth="1"/>
    <col min="4606" max="4606" width="27.26953125" style="217" bestFit="1" customWidth="1"/>
    <col min="4607" max="4607" width="9.1796875" style="217" customWidth="1"/>
    <col min="4608" max="4608" width="14.7265625" style="217"/>
    <col min="4609" max="4609" width="32.81640625" style="217" customWidth="1"/>
    <col min="4610" max="4613" width="5.54296875" style="217" customWidth="1"/>
    <col min="4614" max="4614" width="7" style="217" customWidth="1"/>
    <col min="4615" max="4622" width="5.54296875" style="217" customWidth="1"/>
    <col min="4623" max="4623" width="55" style="217" customWidth="1"/>
    <col min="4624" max="4624" width="8.7265625" style="217" customWidth="1"/>
    <col min="4625" max="4625" width="8.1796875" style="217" customWidth="1"/>
    <col min="4626" max="4626" width="7.1796875" style="217" customWidth="1"/>
    <col min="4627" max="4627" width="16.54296875" style="217" bestFit="1" customWidth="1"/>
    <col min="4628" max="4628" width="18.54296875" style="217" customWidth="1"/>
    <col min="4629" max="4855" width="8.7265625" style="217" customWidth="1"/>
    <col min="4856" max="4856" width="39.7265625" style="217" customWidth="1"/>
    <col min="4857" max="4859" width="6.1796875" style="217" customWidth="1"/>
    <col min="4860" max="4860" width="8.453125" style="217" bestFit="1" customWidth="1"/>
    <col min="4861" max="4861" width="12.54296875" style="217" bestFit="1" customWidth="1"/>
    <col min="4862" max="4862" width="27.26953125" style="217" bestFit="1" customWidth="1"/>
    <col min="4863" max="4863" width="9.1796875" style="217" customWidth="1"/>
    <col min="4864" max="4864" width="14.7265625" style="217"/>
    <col min="4865" max="4865" width="32.81640625" style="217" customWidth="1"/>
    <col min="4866" max="4869" width="5.54296875" style="217" customWidth="1"/>
    <col min="4870" max="4870" width="7" style="217" customWidth="1"/>
    <col min="4871" max="4878" width="5.54296875" style="217" customWidth="1"/>
    <col min="4879" max="4879" width="55" style="217" customWidth="1"/>
    <col min="4880" max="4880" width="8.7265625" style="217" customWidth="1"/>
    <col min="4881" max="4881" width="8.1796875" style="217" customWidth="1"/>
    <col min="4882" max="4882" width="7.1796875" style="217" customWidth="1"/>
    <col min="4883" max="4883" width="16.54296875" style="217" bestFit="1" customWidth="1"/>
    <col min="4884" max="4884" width="18.54296875" style="217" customWidth="1"/>
    <col min="4885" max="5111" width="8.7265625" style="217" customWidth="1"/>
    <col min="5112" max="5112" width="39.7265625" style="217" customWidth="1"/>
    <col min="5113" max="5115" width="6.1796875" style="217" customWidth="1"/>
    <col min="5116" max="5116" width="8.453125" style="217" bestFit="1" customWidth="1"/>
    <col min="5117" max="5117" width="12.54296875" style="217" bestFit="1" customWidth="1"/>
    <col min="5118" max="5118" width="27.26953125" style="217" bestFit="1" customWidth="1"/>
    <col min="5119" max="5119" width="9.1796875" style="217" customWidth="1"/>
    <col min="5120" max="5120" width="14.7265625" style="217"/>
    <col min="5121" max="5121" width="32.81640625" style="217" customWidth="1"/>
    <col min="5122" max="5125" width="5.54296875" style="217" customWidth="1"/>
    <col min="5126" max="5126" width="7" style="217" customWidth="1"/>
    <col min="5127" max="5134" width="5.54296875" style="217" customWidth="1"/>
    <col min="5135" max="5135" width="55" style="217" customWidth="1"/>
    <col min="5136" max="5136" width="8.7265625" style="217" customWidth="1"/>
    <col min="5137" max="5137" width="8.1796875" style="217" customWidth="1"/>
    <col min="5138" max="5138" width="7.1796875" style="217" customWidth="1"/>
    <col min="5139" max="5139" width="16.54296875" style="217" bestFit="1" customWidth="1"/>
    <col min="5140" max="5140" width="18.54296875" style="217" customWidth="1"/>
    <col min="5141" max="5367" width="8.7265625" style="217" customWidth="1"/>
    <col min="5368" max="5368" width="39.7265625" style="217" customWidth="1"/>
    <col min="5369" max="5371" width="6.1796875" style="217" customWidth="1"/>
    <col min="5372" max="5372" width="8.453125" style="217" bestFit="1" customWidth="1"/>
    <col min="5373" max="5373" width="12.54296875" style="217" bestFit="1" customWidth="1"/>
    <col min="5374" max="5374" width="27.26953125" style="217" bestFit="1" customWidth="1"/>
    <col min="5375" max="5375" width="9.1796875" style="217" customWidth="1"/>
    <col min="5376" max="5376" width="14.7265625" style="217"/>
    <col min="5377" max="5377" width="32.81640625" style="217" customWidth="1"/>
    <col min="5378" max="5381" width="5.54296875" style="217" customWidth="1"/>
    <col min="5382" max="5382" width="7" style="217" customWidth="1"/>
    <col min="5383" max="5390" width="5.54296875" style="217" customWidth="1"/>
    <col min="5391" max="5391" width="55" style="217" customWidth="1"/>
    <col min="5392" max="5392" width="8.7265625" style="217" customWidth="1"/>
    <col min="5393" max="5393" width="8.1796875" style="217" customWidth="1"/>
    <col min="5394" max="5394" width="7.1796875" style="217" customWidth="1"/>
    <col min="5395" max="5395" width="16.54296875" style="217" bestFit="1" customWidth="1"/>
    <col min="5396" max="5396" width="18.54296875" style="217" customWidth="1"/>
    <col min="5397" max="5623" width="8.7265625" style="217" customWidth="1"/>
    <col min="5624" max="5624" width="39.7265625" style="217" customWidth="1"/>
    <col min="5625" max="5627" width="6.1796875" style="217" customWidth="1"/>
    <col min="5628" max="5628" width="8.453125" style="217" bestFit="1" customWidth="1"/>
    <col min="5629" max="5629" width="12.54296875" style="217" bestFit="1" customWidth="1"/>
    <col min="5630" max="5630" width="27.26953125" style="217" bestFit="1" customWidth="1"/>
    <col min="5631" max="5631" width="9.1796875" style="217" customWidth="1"/>
    <col min="5632" max="5632" width="14.7265625" style="217"/>
    <col min="5633" max="5633" width="32.81640625" style="217" customWidth="1"/>
    <col min="5634" max="5637" width="5.54296875" style="217" customWidth="1"/>
    <col min="5638" max="5638" width="7" style="217" customWidth="1"/>
    <col min="5639" max="5646" width="5.54296875" style="217" customWidth="1"/>
    <col min="5647" max="5647" width="55" style="217" customWidth="1"/>
    <col min="5648" max="5648" width="8.7265625" style="217" customWidth="1"/>
    <col min="5649" max="5649" width="8.1796875" style="217" customWidth="1"/>
    <col min="5650" max="5650" width="7.1796875" style="217" customWidth="1"/>
    <col min="5651" max="5651" width="16.54296875" style="217" bestFit="1" customWidth="1"/>
    <col min="5652" max="5652" width="18.54296875" style="217" customWidth="1"/>
    <col min="5653" max="5879" width="8.7265625" style="217" customWidth="1"/>
    <col min="5880" max="5880" width="39.7265625" style="217" customWidth="1"/>
    <col min="5881" max="5883" width="6.1796875" style="217" customWidth="1"/>
    <col min="5884" max="5884" width="8.453125" style="217" bestFit="1" customWidth="1"/>
    <col min="5885" max="5885" width="12.54296875" style="217" bestFit="1" customWidth="1"/>
    <col min="5886" max="5886" width="27.26953125" style="217" bestFit="1" customWidth="1"/>
    <col min="5887" max="5887" width="9.1796875" style="217" customWidth="1"/>
    <col min="5888" max="5888" width="14.7265625" style="217"/>
    <col min="5889" max="5889" width="32.81640625" style="217" customWidth="1"/>
    <col min="5890" max="5893" width="5.54296875" style="217" customWidth="1"/>
    <col min="5894" max="5894" width="7" style="217" customWidth="1"/>
    <col min="5895" max="5902" width="5.54296875" style="217" customWidth="1"/>
    <col min="5903" max="5903" width="55" style="217" customWidth="1"/>
    <col min="5904" max="5904" width="8.7265625" style="217" customWidth="1"/>
    <col min="5905" max="5905" width="8.1796875" style="217" customWidth="1"/>
    <col min="5906" max="5906" width="7.1796875" style="217" customWidth="1"/>
    <col min="5907" max="5907" width="16.54296875" style="217" bestFit="1" customWidth="1"/>
    <col min="5908" max="5908" width="18.54296875" style="217" customWidth="1"/>
    <col min="5909" max="6135" width="8.7265625" style="217" customWidth="1"/>
    <col min="6136" max="6136" width="39.7265625" style="217" customWidth="1"/>
    <col min="6137" max="6139" width="6.1796875" style="217" customWidth="1"/>
    <col min="6140" max="6140" width="8.453125" style="217" bestFit="1" customWidth="1"/>
    <col min="6141" max="6141" width="12.54296875" style="217" bestFit="1" customWidth="1"/>
    <col min="6142" max="6142" width="27.26953125" style="217" bestFit="1" customWidth="1"/>
    <col min="6143" max="6143" width="9.1796875" style="217" customWidth="1"/>
    <col min="6144" max="6144" width="14.7265625" style="217"/>
    <col min="6145" max="6145" width="32.81640625" style="217" customWidth="1"/>
    <col min="6146" max="6149" width="5.54296875" style="217" customWidth="1"/>
    <col min="6150" max="6150" width="7" style="217" customWidth="1"/>
    <col min="6151" max="6158" width="5.54296875" style="217" customWidth="1"/>
    <col min="6159" max="6159" width="55" style="217" customWidth="1"/>
    <col min="6160" max="6160" width="8.7265625" style="217" customWidth="1"/>
    <col min="6161" max="6161" width="8.1796875" style="217" customWidth="1"/>
    <col min="6162" max="6162" width="7.1796875" style="217" customWidth="1"/>
    <col min="6163" max="6163" width="16.54296875" style="217" bestFit="1" customWidth="1"/>
    <col min="6164" max="6164" width="18.54296875" style="217" customWidth="1"/>
    <col min="6165" max="6391" width="8.7265625" style="217" customWidth="1"/>
    <col min="6392" max="6392" width="39.7265625" style="217" customWidth="1"/>
    <col min="6393" max="6395" width="6.1796875" style="217" customWidth="1"/>
    <col min="6396" max="6396" width="8.453125" style="217" bestFit="1" customWidth="1"/>
    <col min="6397" max="6397" width="12.54296875" style="217" bestFit="1" customWidth="1"/>
    <col min="6398" max="6398" width="27.26953125" style="217" bestFit="1" customWidth="1"/>
    <col min="6399" max="6399" width="9.1796875" style="217" customWidth="1"/>
    <col min="6400" max="6400" width="14.7265625" style="217"/>
    <col min="6401" max="6401" width="32.81640625" style="217" customWidth="1"/>
    <col min="6402" max="6405" width="5.54296875" style="217" customWidth="1"/>
    <col min="6406" max="6406" width="7" style="217" customWidth="1"/>
    <col min="6407" max="6414" width="5.54296875" style="217" customWidth="1"/>
    <col min="6415" max="6415" width="55" style="217" customWidth="1"/>
    <col min="6416" max="6416" width="8.7265625" style="217" customWidth="1"/>
    <col min="6417" max="6417" width="8.1796875" style="217" customWidth="1"/>
    <col min="6418" max="6418" width="7.1796875" style="217" customWidth="1"/>
    <col min="6419" max="6419" width="16.54296875" style="217" bestFit="1" customWidth="1"/>
    <col min="6420" max="6420" width="18.54296875" style="217" customWidth="1"/>
    <col min="6421" max="6647" width="8.7265625" style="217" customWidth="1"/>
    <col min="6648" max="6648" width="39.7265625" style="217" customWidth="1"/>
    <col min="6649" max="6651" width="6.1796875" style="217" customWidth="1"/>
    <col min="6652" max="6652" width="8.453125" style="217" bestFit="1" customWidth="1"/>
    <col min="6653" max="6653" width="12.54296875" style="217" bestFit="1" customWidth="1"/>
    <col min="6654" max="6654" width="27.26953125" style="217" bestFit="1" customWidth="1"/>
    <col min="6655" max="6655" width="9.1796875" style="217" customWidth="1"/>
    <col min="6656" max="6656" width="14.7265625" style="217"/>
    <col min="6657" max="6657" width="32.81640625" style="217" customWidth="1"/>
    <col min="6658" max="6661" width="5.54296875" style="217" customWidth="1"/>
    <col min="6662" max="6662" width="7" style="217" customWidth="1"/>
    <col min="6663" max="6670" width="5.54296875" style="217" customWidth="1"/>
    <col min="6671" max="6671" width="55" style="217" customWidth="1"/>
    <col min="6672" max="6672" width="8.7265625" style="217" customWidth="1"/>
    <col min="6673" max="6673" width="8.1796875" style="217" customWidth="1"/>
    <col min="6674" max="6674" width="7.1796875" style="217" customWidth="1"/>
    <col min="6675" max="6675" width="16.54296875" style="217" bestFit="1" customWidth="1"/>
    <col min="6676" max="6676" width="18.54296875" style="217" customWidth="1"/>
    <col min="6677" max="6903" width="8.7265625" style="217" customWidth="1"/>
    <col min="6904" max="6904" width="39.7265625" style="217" customWidth="1"/>
    <col min="6905" max="6907" width="6.1796875" style="217" customWidth="1"/>
    <col min="6908" max="6908" width="8.453125" style="217" bestFit="1" customWidth="1"/>
    <col min="6909" max="6909" width="12.54296875" style="217" bestFit="1" customWidth="1"/>
    <col min="6910" max="6910" width="27.26953125" style="217" bestFit="1" customWidth="1"/>
    <col min="6911" max="6911" width="9.1796875" style="217" customWidth="1"/>
    <col min="6912" max="6912" width="14.7265625" style="217"/>
    <col min="6913" max="6913" width="32.81640625" style="217" customWidth="1"/>
    <col min="6914" max="6917" width="5.54296875" style="217" customWidth="1"/>
    <col min="6918" max="6918" width="7" style="217" customWidth="1"/>
    <col min="6919" max="6926" width="5.54296875" style="217" customWidth="1"/>
    <col min="6927" max="6927" width="55" style="217" customWidth="1"/>
    <col min="6928" max="6928" width="8.7265625" style="217" customWidth="1"/>
    <col min="6929" max="6929" width="8.1796875" style="217" customWidth="1"/>
    <col min="6930" max="6930" width="7.1796875" style="217" customWidth="1"/>
    <col min="6931" max="6931" width="16.54296875" style="217" bestFit="1" customWidth="1"/>
    <col min="6932" max="6932" width="18.54296875" style="217" customWidth="1"/>
    <col min="6933" max="7159" width="8.7265625" style="217" customWidth="1"/>
    <col min="7160" max="7160" width="39.7265625" style="217" customWidth="1"/>
    <col min="7161" max="7163" width="6.1796875" style="217" customWidth="1"/>
    <col min="7164" max="7164" width="8.453125" style="217" bestFit="1" customWidth="1"/>
    <col min="7165" max="7165" width="12.54296875" style="217" bestFit="1" customWidth="1"/>
    <col min="7166" max="7166" width="27.26953125" style="217" bestFit="1" customWidth="1"/>
    <col min="7167" max="7167" width="9.1796875" style="217" customWidth="1"/>
    <col min="7168" max="7168" width="14.7265625" style="217"/>
    <col min="7169" max="7169" width="32.81640625" style="217" customWidth="1"/>
    <col min="7170" max="7173" width="5.54296875" style="217" customWidth="1"/>
    <col min="7174" max="7174" width="7" style="217" customWidth="1"/>
    <col min="7175" max="7182" width="5.54296875" style="217" customWidth="1"/>
    <col min="7183" max="7183" width="55" style="217" customWidth="1"/>
    <col min="7184" max="7184" width="8.7265625" style="217" customWidth="1"/>
    <col min="7185" max="7185" width="8.1796875" style="217" customWidth="1"/>
    <col min="7186" max="7186" width="7.1796875" style="217" customWidth="1"/>
    <col min="7187" max="7187" width="16.54296875" style="217" bestFit="1" customWidth="1"/>
    <col min="7188" max="7188" width="18.54296875" style="217" customWidth="1"/>
    <col min="7189" max="7415" width="8.7265625" style="217" customWidth="1"/>
    <col min="7416" max="7416" width="39.7265625" style="217" customWidth="1"/>
    <col min="7417" max="7419" width="6.1796875" style="217" customWidth="1"/>
    <col min="7420" max="7420" width="8.453125" style="217" bestFit="1" customWidth="1"/>
    <col min="7421" max="7421" width="12.54296875" style="217" bestFit="1" customWidth="1"/>
    <col min="7422" max="7422" width="27.26953125" style="217" bestFit="1" customWidth="1"/>
    <col min="7423" max="7423" width="9.1796875" style="217" customWidth="1"/>
    <col min="7424" max="7424" width="14.7265625" style="217"/>
    <col min="7425" max="7425" width="32.81640625" style="217" customWidth="1"/>
    <col min="7426" max="7429" width="5.54296875" style="217" customWidth="1"/>
    <col min="7430" max="7430" width="7" style="217" customWidth="1"/>
    <col min="7431" max="7438" width="5.54296875" style="217" customWidth="1"/>
    <col min="7439" max="7439" width="55" style="217" customWidth="1"/>
    <col min="7440" max="7440" width="8.7265625" style="217" customWidth="1"/>
    <col min="7441" max="7441" width="8.1796875" style="217" customWidth="1"/>
    <col min="7442" max="7442" width="7.1796875" style="217" customWidth="1"/>
    <col min="7443" max="7443" width="16.54296875" style="217" bestFit="1" customWidth="1"/>
    <col min="7444" max="7444" width="18.54296875" style="217" customWidth="1"/>
    <col min="7445" max="7671" width="8.7265625" style="217" customWidth="1"/>
    <col min="7672" max="7672" width="39.7265625" style="217" customWidth="1"/>
    <col min="7673" max="7675" width="6.1796875" style="217" customWidth="1"/>
    <col min="7676" max="7676" width="8.453125" style="217" bestFit="1" customWidth="1"/>
    <col min="7677" max="7677" width="12.54296875" style="217" bestFit="1" customWidth="1"/>
    <col min="7678" max="7678" width="27.26953125" style="217" bestFit="1" customWidth="1"/>
    <col min="7679" max="7679" width="9.1796875" style="217" customWidth="1"/>
    <col min="7680" max="7680" width="14.7265625" style="217"/>
    <col min="7681" max="7681" width="32.81640625" style="217" customWidth="1"/>
    <col min="7682" max="7685" width="5.54296875" style="217" customWidth="1"/>
    <col min="7686" max="7686" width="7" style="217" customWidth="1"/>
    <col min="7687" max="7694" width="5.54296875" style="217" customWidth="1"/>
    <col min="7695" max="7695" width="55" style="217" customWidth="1"/>
    <col min="7696" max="7696" width="8.7265625" style="217" customWidth="1"/>
    <col min="7697" max="7697" width="8.1796875" style="217" customWidth="1"/>
    <col min="7698" max="7698" width="7.1796875" style="217" customWidth="1"/>
    <col min="7699" max="7699" width="16.54296875" style="217" bestFit="1" customWidth="1"/>
    <col min="7700" max="7700" width="18.54296875" style="217" customWidth="1"/>
    <col min="7701" max="7927" width="8.7265625" style="217" customWidth="1"/>
    <col min="7928" max="7928" width="39.7265625" style="217" customWidth="1"/>
    <col min="7929" max="7931" width="6.1796875" style="217" customWidth="1"/>
    <col min="7932" max="7932" width="8.453125" style="217" bestFit="1" customWidth="1"/>
    <col min="7933" max="7933" width="12.54296875" style="217" bestFit="1" customWidth="1"/>
    <col min="7934" max="7934" width="27.26953125" style="217" bestFit="1" customWidth="1"/>
    <col min="7935" max="7935" width="9.1796875" style="217" customWidth="1"/>
    <col min="7936" max="7936" width="14.7265625" style="217"/>
    <col min="7937" max="7937" width="32.81640625" style="217" customWidth="1"/>
    <col min="7938" max="7941" width="5.54296875" style="217" customWidth="1"/>
    <col min="7942" max="7942" width="7" style="217" customWidth="1"/>
    <col min="7943" max="7950" width="5.54296875" style="217" customWidth="1"/>
    <col min="7951" max="7951" width="55" style="217" customWidth="1"/>
    <col min="7952" max="7952" width="8.7265625" style="217" customWidth="1"/>
    <col min="7953" max="7953" width="8.1796875" style="217" customWidth="1"/>
    <col min="7954" max="7954" width="7.1796875" style="217" customWidth="1"/>
    <col min="7955" max="7955" width="16.54296875" style="217" bestFit="1" customWidth="1"/>
    <col min="7956" max="7956" width="18.54296875" style="217" customWidth="1"/>
    <col min="7957" max="8183" width="8.7265625" style="217" customWidth="1"/>
    <col min="8184" max="8184" width="39.7265625" style="217" customWidth="1"/>
    <col min="8185" max="8187" width="6.1796875" style="217" customWidth="1"/>
    <col min="8188" max="8188" width="8.453125" style="217" bestFit="1" customWidth="1"/>
    <col min="8189" max="8189" width="12.54296875" style="217" bestFit="1" customWidth="1"/>
    <col min="8190" max="8190" width="27.26953125" style="217" bestFit="1" customWidth="1"/>
    <col min="8191" max="8191" width="9.1796875" style="217" customWidth="1"/>
    <col min="8192" max="8192" width="14.7265625" style="217"/>
    <col min="8193" max="8193" width="32.81640625" style="217" customWidth="1"/>
    <col min="8194" max="8197" width="5.54296875" style="217" customWidth="1"/>
    <col min="8198" max="8198" width="7" style="217" customWidth="1"/>
    <col min="8199" max="8206" width="5.54296875" style="217" customWidth="1"/>
    <col min="8207" max="8207" width="55" style="217" customWidth="1"/>
    <col min="8208" max="8208" width="8.7265625" style="217" customWidth="1"/>
    <col min="8209" max="8209" width="8.1796875" style="217" customWidth="1"/>
    <col min="8210" max="8210" width="7.1796875" style="217" customWidth="1"/>
    <col min="8211" max="8211" width="16.54296875" style="217" bestFit="1" customWidth="1"/>
    <col min="8212" max="8212" width="18.54296875" style="217" customWidth="1"/>
    <col min="8213" max="8439" width="8.7265625" style="217" customWidth="1"/>
    <col min="8440" max="8440" width="39.7265625" style="217" customWidth="1"/>
    <col min="8441" max="8443" width="6.1796875" style="217" customWidth="1"/>
    <col min="8444" max="8444" width="8.453125" style="217" bestFit="1" customWidth="1"/>
    <col min="8445" max="8445" width="12.54296875" style="217" bestFit="1" customWidth="1"/>
    <col min="8446" max="8446" width="27.26953125" style="217" bestFit="1" customWidth="1"/>
    <col min="8447" max="8447" width="9.1796875" style="217" customWidth="1"/>
    <col min="8448" max="8448" width="14.7265625" style="217"/>
    <col min="8449" max="8449" width="32.81640625" style="217" customWidth="1"/>
    <col min="8450" max="8453" width="5.54296875" style="217" customWidth="1"/>
    <col min="8454" max="8454" width="7" style="217" customWidth="1"/>
    <col min="8455" max="8462" width="5.54296875" style="217" customWidth="1"/>
    <col min="8463" max="8463" width="55" style="217" customWidth="1"/>
    <col min="8464" max="8464" width="8.7265625" style="217" customWidth="1"/>
    <col min="8465" max="8465" width="8.1796875" style="217" customWidth="1"/>
    <col min="8466" max="8466" width="7.1796875" style="217" customWidth="1"/>
    <col min="8467" max="8467" width="16.54296875" style="217" bestFit="1" customWidth="1"/>
    <col min="8468" max="8468" width="18.54296875" style="217" customWidth="1"/>
    <col min="8469" max="8695" width="8.7265625" style="217" customWidth="1"/>
    <col min="8696" max="8696" width="39.7265625" style="217" customWidth="1"/>
    <col min="8697" max="8699" width="6.1796875" style="217" customWidth="1"/>
    <col min="8700" max="8700" width="8.453125" style="217" bestFit="1" customWidth="1"/>
    <col min="8701" max="8701" width="12.54296875" style="217" bestFit="1" customWidth="1"/>
    <col min="8702" max="8702" width="27.26953125" style="217" bestFit="1" customWidth="1"/>
    <col min="8703" max="8703" width="9.1796875" style="217" customWidth="1"/>
    <col min="8704" max="8704" width="14.7265625" style="217"/>
    <col min="8705" max="8705" width="32.81640625" style="217" customWidth="1"/>
    <col min="8706" max="8709" width="5.54296875" style="217" customWidth="1"/>
    <col min="8710" max="8710" width="7" style="217" customWidth="1"/>
    <col min="8711" max="8718" width="5.54296875" style="217" customWidth="1"/>
    <col min="8719" max="8719" width="55" style="217" customWidth="1"/>
    <col min="8720" max="8720" width="8.7265625" style="217" customWidth="1"/>
    <col min="8721" max="8721" width="8.1796875" style="217" customWidth="1"/>
    <col min="8722" max="8722" width="7.1796875" style="217" customWidth="1"/>
    <col min="8723" max="8723" width="16.54296875" style="217" bestFit="1" customWidth="1"/>
    <col min="8724" max="8724" width="18.54296875" style="217" customWidth="1"/>
    <col min="8725" max="8951" width="8.7265625" style="217" customWidth="1"/>
    <col min="8952" max="8952" width="39.7265625" style="217" customWidth="1"/>
    <col min="8953" max="8955" width="6.1796875" style="217" customWidth="1"/>
    <col min="8956" max="8956" width="8.453125" style="217" bestFit="1" customWidth="1"/>
    <col min="8957" max="8957" width="12.54296875" style="217" bestFit="1" customWidth="1"/>
    <col min="8958" max="8958" width="27.26953125" style="217" bestFit="1" customWidth="1"/>
    <col min="8959" max="8959" width="9.1796875" style="217" customWidth="1"/>
    <col min="8960" max="8960" width="14.7265625" style="217"/>
    <col min="8961" max="8961" width="32.81640625" style="217" customWidth="1"/>
    <col min="8962" max="8965" width="5.54296875" style="217" customWidth="1"/>
    <col min="8966" max="8966" width="7" style="217" customWidth="1"/>
    <col min="8967" max="8974" width="5.54296875" style="217" customWidth="1"/>
    <col min="8975" max="8975" width="55" style="217" customWidth="1"/>
    <col min="8976" max="8976" width="8.7265625" style="217" customWidth="1"/>
    <col min="8977" max="8977" width="8.1796875" style="217" customWidth="1"/>
    <col min="8978" max="8978" width="7.1796875" style="217" customWidth="1"/>
    <col min="8979" max="8979" width="16.54296875" style="217" bestFit="1" customWidth="1"/>
    <col min="8980" max="8980" width="18.54296875" style="217" customWidth="1"/>
    <col min="8981" max="9207" width="8.7265625" style="217" customWidth="1"/>
    <col min="9208" max="9208" width="39.7265625" style="217" customWidth="1"/>
    <col min="9209" max="9211" width="6.1796875" style="217" customWidth="1"/>
    <col min="9212" max="9212" width="8.453125" style="217" bestFit="1" customWidth="1"/>
    <col min="9213" max="9213" width="12.54296875" style="217" bestFit="1" customWidth="1"/>
    <col min="9214" max="9214" width="27.26953125" style="217" bestFit="1" customWidth="1"/>
    <col min="9215" max="9215" width="9.1796875" style="217" customWidth="1"/>
    <col min="9216" max="9216" width="14.7265625" style="217"/>
    <col min="9217" max="9217" width="32.81640625" style="217" customWidth="1"/>
    <col min="9218" max="9221" width="5.54296875" style="217" customWidth="1"/>
    <col min="9222" max="9222" width="7" style="217" customWidth="1"/>
    <col min="9223" max="9230" width="5.54296875" style="217" customWidth="1"/>
    <col min="9231" max="9231" width="55" style="217" customWidth="1"/>
    <col min="9232" max="9232" width="8.7265625" style="217" customWidth="1"/>
    <col min="9233" max="9233" width="8.1796875" style="217" customWidth="1"/>
    <col min="9234" max="9234" width="7.1796875" style="217" customWidth="1"/>
    <col min="9235" max="9235" width="16.54296875" style="217" bestFit="1" customWidth="1"/>
    <col min="9236" max="9236" width="18.54296875" style="217" customWidth="1"/>
    <col min="9237" max="9463" width="8.7265625" style="217" customWidth="1"/>
    <col min="9464" max="9464" width="39.7265625" style="217" customWidth="1"/>
    <col min="9465" max="9467" width="6.1796875" style="217" customWidth="1"/>
    <col min="9468" max="9468" width="8.453125" style="217" bestFit="1" customWidth="1"/>
    <col min="9469" max="9469" width="12.54296875" style="217" bestFit="1" customWidth="1"/>
    <col min="9470" max="9470" width="27.26953125" style="217" bestFit="1" customWidth="1"/>
    <col min="9471" max="9471" width="9.1796875" style="217" customWidth="1"/>
    <col min="9472" max="9472" width="14.7265625" style="217"/>
    <col min="9473" max="9473" width="32.81640625" style="217" customWidth="1"/>
    <col min="9474" max="9477" width="5.54296875" style="217" customWidth="1"/>
    <col min="9478" max="9478" width="7" style="217" customWidth="1"/>
    <col min="9479" max="9486" width="5.54296875" style="217" customWidth="1"/>
    <col min="9487" max="9487" width="55" style="217" customWidth="1"/>
    <col min="9488" max="9488" width="8.7265625" style="217" customWidth="1"/>
    <col min="9489" max="9489" width="8.1796875" style="217" customWidth="1"/>
    <col min="9490" max="9490" width="7.1796875" style="217" customWidth="1"/>
    <col min="9491" max="9491" width="16.54296875" style="217" bestFit="1" customWidth="1"/>
    <col min="9492" max="9492" width="18.54296875" style="217" customWidth="1"/>
    <col min="9493" max="9719" width="8.7265625" style="217" customWidth="1"/>
    <col min="9720" max="9720" width="39.7265625" style="217" customWidth="1"/>
    <col min="9721" max="9723" width="6.1796875" style="217" customWidth="1"/>
    <col min="9724" max="9724" width="8.453125" style="217" bestFit="1" customWidth="1"/>
    <col min="9725" max="9725" width="12.54296875" style="217" bestFit="1" customWidth="1"/>
    <col min="9726" max="9726" width="27.26953125" style="217" bestFit="1" customWidth="1"/>
    <col min="9727" max="9727" width="9.1796875" style="217" customWidth="1"/>
    <col min="9728" max="9728" width="14.7265625" style="217"/>
    <col min="9729" max="9729" width="32.81640625" style="217" customWidth="1"/>
    <col min="9730" max="9733" width="5.54296875" style="217" customWidth="1"/>
    <col min="9734" max="9734" width="7" style="217" customWidth="1"/>
    <col min="9735" max="9742" width="5.54296875" style="217" customWidth="1"/>
    <col min="9743" max="9743" width="55" style="217" customWidth="1"/>
    <col min="9744" max="9744" width="8.7265625" style="217" customWidth="1"/>
    <col min="9745" max="9745" width="8.1796875" style="217" customWidth="1"/>
    <col min="9746" max="9746" width="7.1796875" style="217" customWidth="1"/>
    <col min="9747" max="9747" width="16.54296875" style="217" bestFit="1" customWidth="1"/>
    <col min="9748" max="9748" width="18.54296875" style="217" customWidth="1"/>
    <col min="9749" max="9975" width="8.7265625" style="217" customWidth="1"/>
    <col min="9976" max="9976" width="39.7265625" style="217" customWidth="1"/>
    <col min="9977" max="9979" width="6.1796875" style="217" customWidth="1"/>
    <col min="9980" max="9980" width="8.453125" style="217" bestFit="1" customWidth="1"/>
    <col min="9981" max="9981" width="12.54296875" style="217" bestFit="1" customWidth="1"/>
    <col min="9982" max="9982" width="27.26953125" style="217" bestFit="1" customWidth="1"/>
    <col min="9983" max="9983" width="9.1796875" style="217" customWidth="1"/>
    <col min="9984" max="9984" width="14.7265625" style="217"/>
    <col min="9985" max="9985" width="32.81640625" style="217" customWidth="1"/>
    <col min="9986" max="9989" width="5.54296875" style="217" customWidth="1"/>
    <col min="9990" max="9990" width="7" style="217" customWidth="1"/>
    <col min="9991" max="9998" width="5.54296875" style="217" customWidth="1"/>
    <col min="9999" max="9999" width="55" style="217" customWidth="1"/>
    <col min="10000" max="10000" width="8.7265625" style="217" customWidth="1"/>
    <col min="10001" max="10001" width="8.1796875" style="217" customWidth="1"/>
    <col min="10002" max="10002" width="7.1796875" style="217" customWidth="1"/>
    <col min="10003" max="10003" width="16.54296875" style="217" bestFit="1" customWidth="1"/>
    <col min="10004" max="10004" width="18.54296875" style="217" customWidth="1"/>
    <col min="10005" max="10231" width="8.7265625" style="217" customWidth="1"/>
    <col min="10232" max="10232" width="39.7265625" style="217" customWidth="1"/>
    <col min="10233" max="10235" width="6.1796875" style="217" customWidth="1"/>
    <col min="10236" max="10236" width="8.453125" style="217" bestFit="1" customWidth="1"/>
    <col min="10237" max="10237" width="12.54296875" style="217" bestFit="1" customWidth="1"/>
    <col min="10238" max="10238" width="27.26953125" style="217" bestFit="1" customWidth="1"/>
    <col min="10239" max="10239" width="9.1796875" style="217" customWidth="1"/>
    <col min="10240" max="10240" width="14.7265625" style="217"/>
    <col min="10241" max="10241" width="32.81640625" style="217" customWidth="1"/>
    <col min="10242" max="10245" width="5.54296875" style="217" customWidth="1"/>
    <col min="10246" max="10246" width="7" style="217" customWidth="1"/>
    <col min="10247" max="10254" width="5.54296875" style="217" customWidth="1"/>
    <col min="10255" max="10255" width="55" style="217" customWidth="1"/>
    <col min="10256" max="10256" width="8.7265625" style="217" customWidth="1"/>
    <col min="10257" max="10257" width="8.1796875" style="217" customWidth="1"/>
    <col min="10258" max="10258" width="7.1796875" style="217" customWidth="1"/>
    <col min="10259" max="10259" width="16.54296875" style="217" bestFit="1" customWidth="1"/>
    <col min="10260" max="10260" width="18.54296875" style="217" customWidth="1"/>
    <col min="10261" max="10487" width="8.7265625" style="217" customWidth="1"/>
    <col min="10488" max="10488" width="39.7265625" style="217" customWidth="1"/>
    <col min="10489" max="10491" width="6.1796875" style="217" customWidth="1"/>
    <col min="10492" max="10492" width="8.453125" style="217" bestFit="1" customWidth="1"/>
    <col min="10493" max="10493" width="12.54296875" style="217" bestFit="1" customWidth="1"/>
    <col min="10494" max="10494" width="27.26953125" style="217" bestFit="1" customWidth="1"/>
    <col min="10495" max="10495" width="9.1796875" style="217" customWidth="1"/>
    <col min="10496" max="10496" width="14.7265625" style="217"/>
    <col min="10497" max="10497" width="32.81640625" style="217" customWidth="1"/>
    <col min="10498" max="10501" width="5.54296875" style="217" customWidth="1"/>
    <col min="10502" max="10502" width="7" style="217" customWidth="1"/>
    <col min="10503" max="10510" width="5.54296875" style="217" customWidth="1"/>
    <col min="10511" max="10511" width="55" style="217" customWidth="1"/>
    <col min="10512" max="10512" width="8.7265625" style="217" customWidth="1"/>
    <col min="10513" max="10513" width="8.1796875" style="217" customWidth="1"/>
    <col min="10514" max="10514" width="7.1796875" style="217" customWidth="1"/>
    <col min="10515" max="10515" width="16.54296875" style="217" bestFit="1" customWidth="1"/>
    <col min="10516" max="10516" width="18.54296875" style="217" customWidth="1"/>
    <col min="10517" max="10743" width="8.7265625" style="217" customWidth="1"/>
    <col min="10744" max="10744" width="39.7265625" style="217" customWidth="1"/>
    <col min="10745" max="10747" width="6.1796875" style="217" customWidth="1"/>
    <col min="10748" max="10748" width="8.453125" style="217" bestFit="1" customWidth="1"/>
    <col min="10749" max="10749" width="12.54296875" style="217" bestFit="1" customWidth="1"/>
    <col min="10750" max="10750" width="27.26953125" style="217" bestFit="1" customWidth="1"/>
    <col min="10751" max="10751" width="9.1796875" style="217" customWidth="1"/>
    <col min="10752" max="10752" width="14.7265625" style="217"/>
    <col min="10753" max="10753" width="32.81640625" style="217" customWidth="1"/>
    <col min="10754" max="10757" width="5.54296875" style="217" customWidth="1"/>
    <col min="10758" max="10758" width="7" style="217" customWidth="1"/>
    <col min="10759" max="10766" width="5.54296875" style="217" customWidth="1"/>
    <col min="10767" max="10767" width="55" style="217" customWidth="1"/>
    <col min="10768" max="10768" width="8.7265625" style="217" customWidth="1"/>
    <col min="10769" max="10769" width="8.1796875" style="217" customWidth="1"/>
    <col min="10770" max="10770" width="7.1796875" style="217" customWidth="1"/>
    <col min="10771" max="10771" width="16.54296875" style="217" bestFit="1" customWidth="1"/>
    <col min="10772" max="10772" width="18.54296875" style="217" customWidth="1"/>
    <col min="10773" max="10999" width="8.7265625" style="217" customWidth="1"/>
    <col min="11000" max="11000" width="39.7265625" style="217" customWidth="1"/>
    <col min="11001" max="11003" width="6.1796875" style="217" customWidth="1"/>
    <col min="11004" max="11004" width="8.453125" style="217" bestFit="1" customWidth="1"/>
    <col min="11005" max="11005" width="12.54296875" style="217" bestFit="1" customWidth="1"/>
    <col min="11006" max="11006" width="27.26953125" style="217" bestFit="1" customWidth="1"/>
    <col min="11007" max="11007" width="9.1796875" style="217" customWidth="1"/>
    <col min="11008" max="11008" width="14.7265625" style="217"/>
    <col min="11009" max="11009" width="32.81640625" style="217" customWidth="1"/>
    <col min="11010" max="11013" width="5.54296875" style="217" customWidth="1"/>
    <col min="11014" max="11014" width="7" style="217" customWidth="1"/>
    <col min="11015" max="11022" width="5.54296875" style="217" customWidth="1"/>
    <col min="11023" max="11023" width="55" style="217" customWidth="1"/>
    <col min="11024" max="11024" width="8.7265625" style="217" customWidth="1"/>
    <col min="11025" max="11025" width="8.1796875" style="217" customWidth="1"/>
    <col min="11026" max="11026" width="7.1796875" style="217" customWidth="1"/>
    <col min="11027" max="11027" width="16.54296875" style="217" bestFit="1" customWidth="1"/>
    <col min="11028" max="11028" width="18.54296875" style="217" customWidth="1"/>
    <col min="11029" max="11255" width="8.7265625" style="217" customWidth="1"/>
    <col min="11256" max="11256" width="39.7265625" style="217" customWidth="1"/>
    <col min="11257" max="11259" width="6.1796875" style="217" customWidth="1"/>
    <col min="11260" max="11260" width="8.453125" style="217" bestFit="1" customWidth="1"/>
    <col min="11261" max="11261" width="12.54296875" style="217" bestFit="1" customWidth="1"/>
    <col min="11262" max="11262" width="27.26953125" style="217" bestFit="1" customWidth="1"/>
    <col min="11263" max="11263" width="9.1796875" style="217" customWidth="1"/>
    <col min="11264" max="11264" width="14.7265625" style="217"/>
    <col min="11265" max="11265" width="32.81640625" style="217" customWidth="1"/>
    <col min="11266" max="11269" width="5.54296875" style="217" customWidth="1"/>
    <col min="11270" max="11270" width="7" style="217" customWidth="1"/>
    <col min="11271" max="11278" width="5.54296875" style="217" customWidth="1"/>
    <col min="11279" max="11279" width="55" style="217" customWidth="1"/>
    <col min="11280" max="11280" width="8.7265625" style="217" customWidth="1"/>
    <col min="11281" max="11281" width="8.1796875" style="217" customWidth="1"/>
    <col min="11282" max="11282" width="7.1796875" style="217" customWidth="1"/>
    <col min="11283" max="11283" width="16.54296875" style="217" bestFit="1" customWidth="1"/>
    <col min="11284" max="11284" width="18.54296875" style="217" customWidth="1"/>
    <col min="11285" max="11511" width="8.7265625" style="217" customWidth="1"/>
    <col min="11512" max="11512" width="39.7265625" style="217" customWidth="1"/>
    <col min="11513" max="11515" width="6.1796875" style="217" customWidth="1"/>
    <col min="11516" max="11516" width="8.453125" style="217" bestFit="1" customWidth="1"/>
    <col min="11517" max="11517" width="12.54296875" style="217" bestFit="1" customWidth="1"/>
    <col min="11518" max="11518" width="27.26953125" style="217" bestFit="1" customWidth="1"/>
    <col min="11519" max="11519" width="9.1796875" style="217" customWidth="1"/>
    <col min="11520" max="11520" width="14.7265625" style="217"/>
    <col min="11521" max="11521" width="32.81640625" style="217" customWidth="1"/>
    <col min="11522" max="11525" width="5.54296875" style="217" customWidth="1"/>
    <col min="11526" max="11526" width="7" style="217" customWidth="1"/>
    <col min="11527" max="11534" width="5.54296875" style="217" customWidth="1"/>
    <col min="11535" max="11535" width="55" style="217" customWidth="1"/>
    <col min="11536" max="11536" width="8.7265625" style="217" customWidth="1"/>
    <col min="11537" max="11537" width="8.1796875" style="217" customWidth="1"/>
    <col min="11538" max="11538" width="7.1796875" style="217" customWidth="1"/>
    <col min="11539" max="11539" width="16.54296875" style="217" bestFit="1" customWidth="1"/>
    <col min="11540" max="11540" width="18.54296875" style="217" customWidth="1"/>
    <col min="11541" max="11767" width="8.7265625" style="217" customWidth="1"/>
    <col min="11768" max="11768" width="39.7265625" style="217" customWidth="1"/>
    <col min="11769" max="11771" width="6.1796875" style="217" customWidth="1"/>
    <col min="11772" max="11772" width="8.453125" style="217" bestFit="1" customWidth="1"/>
    <col min="11773" max="11773" width="12.54296875" style="217" bestFit="1" customWidth="1"/>
    <col min="11774" max="11774" width="27.26953125" style="217" bestFit="1" customWidth="1"/>
    <col min="11775" max="11775" width="9.1796875" style="217" customWidth="1"/>
    <col min="11776" max="11776" width="14.7265625" style="217"/>
    <col min="11777" max="11777" width="32.81640625" style="217" customWidth="1"/>
    <col min="11778" max="11781" width="5.54296875" style="217" customWidth="1"/>
    <col min="11782" max="11782" width="7" style="217" customWidth="1"/>
    <col min="11783" max="11790" width="5.54296875" style="217" customWidth="1"/>
    <col min="11791" max="11791" width="55" style="217" customWidth="1"/>
    <col min="11792" max="11792" width="8.7265625" style="217" customWidth="1"/>
    <col min="11793" max="11793" width="8.1796875" style="217" customWidth="1"/>
    <col min="11794" max="11794" width="7.1796875" style="217" customWidth="1"/>
    <col min="11795" max="11795" width="16.54296875" style="217" bestFit="1" customWidth="1"/>
    <col min="11796" max="11796" width="18.54296875" style="217" customWidth="1"/>
    <col min="11797" max="12023" width="8.7265625" style="217" customWidth="1"/>
    <col min="12024" max="12024" width="39.7265625" style="217" customWidth="1"/>
    <col min="12025" max="12027" width="6.1796875" style="217" customWidth="1"/>
    <col min="12028" max="12028" width="8.453125" style="217" bestFit="1" customWidth="1"/>
    <col min="12029" max="12029" width="12.54296875" style="217" bestFit="1" customWidth="1"/>
    <col min="12030" max="12030" width="27.26953125" style="217" bestFit="1" customWidth="1"/>
    <col min="12031" max="12031" width="9.1796875" style="217" customWidth="1"/>
    <col min="12032" max="12032" width="14.7265625" style="217"/>
    <col min="12033" max="12033" width="32.81640625" style="217" customWidth="1"/>
    <col min="12034" max="12037" width="5.54296875" style="217" customWidth="1"/>
    <col min="12038" max="12038" width="7" style="217" customWidth="1"/>
    <col min="12039" max="12046" width="5.54296875" style="217" customWidth="1"/>
    <col min="12047" max="12047" width="55" style="217" customWidth="1"/>
    <col min="12048" max="12048" width="8.7265625" style="217" customWidth="1"/>
    <col min="12049" max="12049" width="8.1796875" style="217" customWidth="1"/>
    <col min="12050" max="12050" width="7.1796875" style="217" customWidth="1"/>
    <col min="12051" max="12051" width="16.54296875" style="217" bestFit="1" customWidth="1"/>
    <col min="12052" max="12052" width="18.54296875" style="217" customWidth="1"/>
    <col min="12053" max="12279" width="8.7265625" style="217" customWidth="1"/>
    <col min="12280" max="12280" width="39.7265625" style="217" customWidth="1"/>
    <col min="12281" max="12283" width="6.1796875" style="217" customWidth="1"/>
    <col min="12284" max="12284" width="8.453125" style="217" bestFit="1" customWidth="1"/>
    <col min="12285" max="12285" width="12.54296875" style="217" bestFit="1" customWidth="1"/>
    <col min="12286" max="12286" width="27.26953125" style="217" bestFit="1" customWidth="1"/>
    <col min="12287" max="12287" width="9.1796875" style="217" customWidth="1"/>
    <col min="12288" max="12288" width="14.7265625" style="217"/>
    <col min="12289" max="12289" width="32.81640625" style="217" customWidth="1"/>
    <col min="12290" max="12293" width="5.54296875" style="217" customWidth="1"/>
    <col min="12294" max="12294" width="7" style="217" customWidth="1"/>
    <col min="12295" max="12302" width="5.54296875" style="217" customWidth="1"/>
    <col min="12303" max="12303" width="55" style="217" customWidth="1"/>
    <col min="12304" max="12304" width="8.7265625" style="217" customWidth="1"/>
    <col min="12305" max="12305" width="8.1796875" style="217" customWidth="1"/>
    <col min="12306" max="12306" width="7.1796875" style="217" customWidth="1"/>
    <col min="12307" max="12307" width="16.54296875" style="217" bestFit="1" customWidth="1"/>
    <col min="12308" max="12308" width="18.54296875" style="217" customWidth="1"/>
    <col min="12309" max="12535" width="8.7265625" style="217" customWidth="1"/>
    <col min="12536" max="12536" width="39.7265625" style="217" customWidth="1"/>
    <col min="12537" max="12539" width="6.1796875" style="217" customWidth="1"/>
    <col min="12540" max="12540" width="8.453125" style="217" bestFit="1" customWidth="1"/>
    <col min="12541" max="12541" width="12.54296875" style="217" bestFit="1" customWidth="1"/>
    <col min="12542" max="12542" width="27.26953125" style="217" bestFit="1" customWidth="1"/>
    <col min="12543" max="12543" width="9.1796875" style="217" customWidth="1"/>
    <col min="12544" max="12544" width="14.7265625" style="217"/>
    <col min="12545" max="12545" width="32.81640625" style="217" customWidth="1"/>
    <col min="12546" max="12549" width="5.54296875" style="217" customWidth="1"/>
    <col min="12550" max="12550" width="7" style="217" customWidth="1"/>
    <col min="12551" max="12558" width="5.54296875" style="217" customWidth="1"/>
    <col min="12559" max="12559" width="55" style="217" customWidth="1"/>
    <col min="12560" max="12560" width="8.7265625" style="217" customWidth="1"/>
    <col min="12561" max="12561" width="8.1796875" style="217" customWidth="1"/>
    <col min="12562" max="12562" width="7.1796875" style="217" customWidth="1"/>
    <col min="12563" max="12563" width="16.54296875" style="217" bestFit="1" customWidth="1"/>
    <col min="12564" max="12564" width="18.54296875" style="217" customWidth="1"/>
    <col min="12565" max="12791" width="8.7265625" style="217" customWidth="1"/>
    <col min="12792" max="12792" width="39.7265625" style="217" customWidth="1"/>
    <col min="12793" max="12795" width="6.1796875" style="217" customWidth="1"/>
    <col min="12796" max="12796" width="8.453125" style="217" bestFit="1" customWidth="1"/>
    <col min="12797" max="12797" width="12.54296875" style="217" bestFit="1" customWidth="1"/>
    <col min="12798" max="12798" width="27.26953125" style="217" bestFit="1" customWidth="1"/>
    <col min="12799" max="12799" width="9.1796875" style="217" customWidth="1"/>
    <col min="12800" max="12800" width="14.7265625" style="217"/>
    <col min="12801" max="12801" width="32.81640625" style="217" customWidth="1"/>
    <col min="12802" max="12805" width="5.54296875" style="217" customWidth="1"/>
    <col min="12806" max="12806" width="7" style="217" customWidth="1"/>
    <col min="12807" max="12814" width="5.54296875" style="217" customWidth="1"/>
    <col min="12815" max="12815" width="55" style="217" customWidth="1"/>
    <col min="12816" max="12816" width="8.7265625" style="217" customWidth="1"/>
    <col min="12817" max="12817" width="8.1796875" style="217" customWidth="1"/>
    <col min="12818" max="12818" width="7.1796875" style="217" customWidth="1"/>
    <col min="12819" max="12819" width="16.54296875" style="217" bestFit="1" customWidth="1"/>
    <col min="12820" max="12820" width="18.54296875" style="217" customWidth="1"/>
    <col min="12821" max="13047" width="8.7265625" style="217" customWidth="1"/>
    <col min="13048" max="13048" width="39.7265625" style="217" customWidth="1"/>
    <col min="13049" max="13051" width="6.1796875" style="217" customWidth="1"/>
    <col min="13052" max="13052" width="8.453125" style="217" bestFit="1" customWidth="1"/>
    <col min="13053" max="13053" width="12.54296875" style="217" bestFit="1" customWidth="1"/>
    <col min="13054" max="13054" width="27.26953125" style="217" bestFit="1" customWidth="1"/>
    <col min="13055" max="13055" width="9.1796875" style="217" customWidth="1"/>
    <col min="13056" max="13056" width="14.7265625" style="217"/>
    <col min="13057" max="13057" width="32.81640625" style="217" customWidth="1"/>
    <col min="13058" max="13061" width="5.54296875" style="217" customWidth="1"/>
    <col min="13062" max="13062" width="7" style="217" customWidth="1"/>
    <col min="13063" max="13070" width="5.54296875" style="217" customWidth="1"/>
    <col min="13071" max="13071" width="55" style="217" customWidth="1"/>
    <col min="13072" max="13072" width="8.7265625" style="217" customWidth="1"/>
    <col min="13073" max="13073" width="8.1796875" style="217" customWidth="1"/>
    <col min="13074" max="13074" width="7.1796875" style="217" customWidth="1"/>
    <col min="13075" max="13075" width="16.54296875" style="217" bestFit="1" customWidth="1"/>
    <col min="13076" max="13076" width="18.54296875" style="217" customWidth="1"/>
    <col min="13077" max="13303" width="8.7265625" style="217" customWidth="1"/>
    <col min="13304" max="13304" width="39.7265625" style="217" customWidth="1"/>
    <col min="13305" max="13307" width="6.1796875" style="217" customWidth="1"/>
    <col min="13308" max="13308" width="8.453125" style="217" bestFit="1" customWidth="1"/>
    <col min="13309" max="13309" width="12.54296875" style="217" bestFit="1" customWidth="1"/>
    <col min="13310" max="13310" width="27.26953125" style="217" bestFit="1" customWidth="1"/>
    <col min="13311" max="13311" width="9.1796875" style="217" customWidth="1"/>
    <col min="13312" max="13312" width="14.7265625" style="217"/>
    <col min="13313" max="13313" width="32.81640625" style="217" customWidth="1"/>
    <col min="13314" max="13317" width="5.54296875" style="217" customWidth="1"/>
    <col min="13318" max="13318" width="7" style="217" customWidth="1"/>
    <col min="13319" max="13326" width="5.54296875" style="217" customWidth="1"/>
    <col min="13327" max="13327" width="55" style="217" customWidth="1"/>
    <col min="13328" max="13328" width="8.7265625" style="217" customWidth="1"/>
    <col min="13329" max="13329" width="8.1796875" style="217" customWidth="1"/>
    <col min="13330" max="13330" width="7.1796875" style="217" customWidth="1"/>
    <col min="13331" max="13331" width="16.54296875" style="217" bestFit="1" customWidth="1"/>
    <col min="13332" max="13332" width="18.54296875" style="217" customWidth="1"/>
    <col min="13333" max="13559" width="8.7265625" style="217" customWidth="1"/>
    <col min="13560" max="13560" width="39.7265625" style="217" customWidth="1"/>
    <col min="13561" max="13563" width="6.1796875" style="217" customWidth="1"/>
    <col min="13564" max="13564" width="8.453125" style="217" bestFit="1" customWidth="1"/>
    <col min="13565" max="13565" width="12.54296875" style="217" bestFit="1" customWidth="1"/>
    <col min="13566" max="13566" width="27.26953125" style="217" bestFit="1" customWidth="1"/>
    <col min="13567" max="13567" width="9.1796875" style="217" customWidth="1"/>
    <col min="13568" max="13568" width="14.7265625" style="217"/>
    <col min="13569" max="13569" width="32.81640625" style="217" customWidth="1"/>
    <col min="13570" max="13573" width="5.54296875" style="217" customWidth="1"/>
    <col min="13574" max="13574" width="7" style="217" customWidth="1"/>
    <col min="13575" max="13582" width="5.54296875" style="217" customWidth="1"/>
    <col min="13583" max="13583" width="55" style="217" customWidth="1"/>
    <col min="13584" max="13584" width="8.7265625" style="217" customWidth="1"/>
    <col min="13585" max="13585" width="8.1796875" style="217" customWidth="1"/>
    <col min="13586" max="13586" width="7.1796875" style="217" customWidth="1"/>
    <col min="13587" max="13587" width="16.54296875" style="217" bestFit="1" customWidth="1"/>
    <col min="13588" max="13588" width="18.54296875" style="217" customWidth="1"/>
    <col min="13589" max="13815" width="8.7265625" style="217" customWidth="1"/>
    <col min="13816" max="13816" width="39.7265625" style="217" customWidth="1"/>
    <col min="13817" max="13819" width="6.1796875" style="217" customWidth="1"/>
    <col min="13820" max="13820" width="8.453125" style="217" bestFit="1" customWidth="1"/>
    <col min="13821" max="13821" width="12.54296875" style="217" bestFit="1" customWidth="1"/>
    <col min="13822" max="13822" width="27.26953125" style="217" bestFit="1" customWidth="1"/>
    <col min="13823" max="13823" width="9.1796875" style="217" customWidth="1"/>
    <col min="13824" max="13824" width="14.7265625" style="217"/>
    <col min="13825" max="13825" width="32.81640625" style="217" customWidth="1"/>
    <col min="13826" max="13829" width="5.54296875" style="217" customWidth="1"/>
    <col min="13830" max="13830" width="7" style="217" customWidth="1"/>
    <col min="13831" max="13838" width="5.54296875" style="217" customWidth="1"/>
    <col min="13839" max="13839" width="55" style="217" customWidth="1"/>
    <col min="13840" max="13840" width="8.7265625" style="217" customWidth="1"/>
    <col min="13841" max="13841" width="8.1796875" style="217" customWidth="1"/>
    <col min="13842" max="13842" width="7.1796875" style="217" customWidth="1"/>
    <col min="13843" max="13843" width="16.54296875" style="217" bestFit="1" customWidth="1"/>
    <col min="13844" max="13844" width="18.54296875" style="217" customWidth="1"/>
    <col min="13845" max="14071" width="8.7265625" style="217" customWidth="1"/>
    <col min="14072" max="14072" width="39.7265625" style="217" customWidth="1"/>
    <col min="14073" max="14075" width="6.1796875" style="217" customWidth="1"/>
    <col min="14076" max="14076" width="8.453125" style="217" bestFit="1" customWidth="1"/>
    <col min="14077" max="14077" width="12.54296875" style="217" bestFit="1" customWidth="1"/>
    <col min="14078" max="14078" width="27.26953125" style="217" bestFit="1" customWidth="1"/>
    <col min="14079" max="14079" width="9.1796875" style="217" customWidth="1"/>
    <col min="14080" max="14080" width="14.7265625" style="217"/>
    <col min="14081" max="14081" width="32.81640625" style="217" customWidth="1"/>
    <col min="14082" max="14085" width="5.54296875" style="217" customWidth="1"/>
    <col min="14086" max="14086" width="7" style="217" customWidth="1"/>
    <col min="14087" max="14094" width="5.54296875" style="217" customWidth="1"/>
    <col min="14095" max="14095" width="55" style="217" customWidth="1"/>
    <col min="14096" max="14096" width="8.7265625" style="217" customWidth="1"/>
    <col min="14097" max="14097" width="8.1796875" style="217" customWidth="1"/>
    <col min="14098" max="14098" width="7.1796875" style="217" customWidth="1"/>
    <col min="14099" max="14099" width="16.54296875" style="217" bestFit="1" customWidth="1"/>
    <col min="14100" max="14100" width="18.54296875" style="217" customWidth="1"/>
    <col min="14101" max="14327" width="8.7265625" style="217" customWidth="1"/>
    <col min="14328" max="14328" width="39.7265625" style="217" customWidth="1"/>
    <col min="14329" max="14331" width="6.1796875" style="217" customWidth="1"/>
    <col min="14332" max="14332" width="8.453125" style="217" bestFit="1" customWidth="1"/>
    <col min="14333" max="14333" width="12.54296875" style="217" bestFit="1" customWidth="1"/>
    <col min="14334" max="14334" width="27.26953125" style="217" bestFit="1" customWidth="1"/>
    <col min="14335" max="14335" width="9.1796875" style="217" customWidth="1"/>
    <col min="14336" max="14336" width="14.7265625" style="217"/>
    <col min="14337" max="14337" width="32.81640625" style="217" customWidth="1"/>
    <col min="14338" max="14341" width="5.54296875" style="217" customWidth="1"/>
    <col min="14342" max="14342" width="7" style="217" customWidth="1"/>
    <col min="14343" max="14350" width="5.54296875" style="217" customWidth="1"/>
    <col min="14351" max="14351" width="55" style="217" customWidth="1"/>
    <col min="14352" max="14352" width="8.7265625" style="217" customWidth="1"/>
    <col min="14353" max="14353" width="8.1796875" style="217" customWidth="1"/>
    <col min="14354" max="14354" width="7.1796875" style="217" customWidth="1"/>
    <col min="14355" max="14355" width="16.54296875" style="217" bestFit="1" customWidth="1"/>
    <col min="14356" max="14356" width="18.54296875" style="217" customWidth="1"/>
    <col min="14357" max="14583" width="8.7265625" style="217" customWidth="1"/>
    <col min="14584" max="14584" width="39.7265625" style="217" customWidth="1"/>
    <col min="14585" max="14587" width="6.1796875" style="217" customWidth="1"/>
    <col min="14588" max="14588" width="8.453125" style="217" bestFit="1" customWidth="1"/>
    <col min="14589" max="14589" width="12.54296875" style="217" bestFit="1" customWidth="1"/>
    <col min="14590" max="14590" width="27.26953125" style="217" bestFit="1" customWidth="1"/>
    <col min="14591" max="14591" width="9.1796875" style="217" customWidth="1"/>
    <col min="14592" max="14592" width="14.7265625" style="217"/>
    <col min="14593" max="14593" width="32.81640625" style="217" customWidth="1"/>
    <col min="14594" max="14597" width="5.54296875" style="217" customWidth="1"/>
    <col min="14598" max="14598" width="7" style="217" customWidth="1"/>
    <col min="14599" max="14606" width="5.54296875" style="217" customWidth="1"/>
    <col min="14607" max="14607" width="55" style="217" customWidth="1"/>
    <col min="14608" max="14608" width="8.7265625" style="217" customWidth="1"/>
    <col min="14609" max="14609" width="8.1796875" style="217" customWidth="1"/>
    <col min="14610" max="14610" width="7.1796875" style="217" customWidth="1"/>
    <col min="14611" max="14611" width="16.54296875" style="217" bestFit="1" customWidth="1"/>
    <col min="14612" max="14612" width="18.54296875" style="217" customWidth="1"/>
    <col min="14613" max="14839" width="8.7265625" style="217" customWidth="1"/>
    <col min="14840" max="14840" width="39.7265625" style="217" customWidth="1"/>
    <col min="14841" max="14843" width="6.1796875" style="217" customWidth="1"/>
    <col min="14844" max="14844" width="8.453125" style="217" bestFit="1" customWidth="1"/>
    <col min="14845" max="14845" width="12.54296875" style="217" bestFit="1" customWidth="1"/>
    <col min="14846" max="14846" width="27.26953125" style="217" bestFit="1" customWidth="1"/>
    <col min="14847" max="14847" width="9.1796875" style="217" customWidth="1"/>
    <col min="14848" max="14848" width="14.7265625" style="217"/>
    <col min="14849" max="14849" width="32.81640625" style="217" customWidth="1"/>
    <col min="14850" max="14853" width="5.54296875" style="217" customWidth="1"/>
    <col min="14854" max="14854" width="7" style="217" customWidth="1"/>
    <col min="14855" max="14862" width="5.54296875" style="217" customWidth="1"/>
    <col min="14863" max="14863" width="55" style="217" customWidth="1"/>
    <col min="14864" max="14864" width="8.7265625" style="217" customWidth="1"/>
    <col min="14865" max="14865" width="8.1796875" style="217" customWidth="1"/>
    <col min="14866" max="14866" width="7.1796875" style="217" customWidth="1"/>
    <col min="14867" max="14867" width="16.54296875" style="217" bestFit="1" customWidth="1"/>
    <col min="14868" max="14868" width="18.54296875" style="217" customWidth="1"/>
    <col min="14869" max="15095" width="8.7265625" style="217" customWidth="1"/>
    <col min="15096" max="15096" width="39.7265625" style="217" customWidth="1"/>
    <col min="15097" max="15099" width="6.1796875" style="217" customWidth="1"/>
    <col min="15100" max="15100" width="8.453125" style="217" bestFit="1" customWidth="1"/>
    <col min="15101" max="15101" width="12.54296875" style="217" bestFit="1" customWidth="1"/>
    <col min="15102" max="15102" width="27.26953125" style="217" bestFit="1" customWidth="1"/>
    <col min="15103" max="15103" width="9.1796875" style="217" customWidth="1"/>
    <col min="15104" max="15104" width="14.7265625" style="217"/>
    <col min="15105" max="15105" width="32.81640625" style="217" customWidth="1"/>
    <col min="15106" max="15109" width="5.54296875" style="217" customWidth="1"/>
    <col min="15110" max="15110" width="7" style="217" customWidth="1"/>
    <col min="15111" max="15118" width="5.54296875" style="217" customWidth="1"/>
    <col min="15119" max="15119" width="55" style="217" customWidth="1"/>
    <col min="15120" max="15120" width="8.7265625" style="217" customWidth="1"/>
    <col min="15121" max="15121" width="8.1796875" style="217" customWidth="1"/>
    <col min="15122" max="15122" width="7.1796875" style="217" customWidth="1"/>
    <col min="15123" max="15123" width="16.54296875" style="217" bestFit="1" customWidth="1"/>
    <col min="15124" max="15124" width="18.54296875" style="217" customWidth="1"/>
    <col min="15125" max="15351" width="8.7265625" style="217" customWidth="1"/>
    <col min="15352" max="15352" width="39.7265625" style="217" customWidth="1"/>
    <col min="15353" max="15355" width="6.1796875" style="217" customWidth="1"/>
    <col min="15356" max="15356" width="8.453125" style="217" bestFit="1" customWidth="1"/>
    <col min="15357" max="15357" width="12.54296875" style="217" bestFit="1" customWidth="1"/>
    <col min="15358" max="15358" width="27.26953125" style="217" bestFit="1" customWidth="1"/>
    <col min="15359" max="15359" width="9.1796875" style="217" customWidth="1"/>
    <col min="15360" max="15360" width="14.7265625" style="217"/>
    <col min="15361" max="15361" width="32.81640625" style="217" customWidth="1"/>
    <col min="15362" max="15365" width="5.54296875" style="217" customWidth="1"/>
    <col min="15366" max="15366" width="7" style="217" customWidth="1"/>
    <col min="15367" max="15374" width="5.54296875" style="217" customWidth="1"/>
    <col min="15375" max="15375" width="55" style="217" customWidth="1"/>
    <col min="15376" max="15376" width="8.7265625" style="217" customWidth="1"/>
    <col min="15377" max="15377" width="8.1796875" style="217" customWidth="1"/>
    <col min="15378" max="15378" width="7.1796875" style="217" customWidth="1"/>
    <col min="15379" max="15379" width="16.54296875" style="217" bestFit="1" customWidth="1"/>
    <col min="15380" max="15380" width="18.54296875" style="217" customWidth="1"/>
    <col min="15381" max="15607" width="8.7265625" style="217" customWidth="1"/>
    <col min="15608" max="15608" width="39.7265625" style="217" customWidth="1"/>
    <col min="15609" max="15611" width="6.1796875" style="217" customWidth="1"/>
    <col min="15612" max="15612" width="8.453125" style="217" bestFit="1" customWidth="1"/>
    <col min="15613" max="15613" width="12.54296875" style="217" bestFit="1" customWidth="1"/>
    <col min="15614" max="15614" width="27.26953125" style="217" bestFit="1" customWidth="1"/>
    <col min="15615" max="15615" width="9.1796875" style="217" customWidth="1"/>
    <col min="15616" max="15616" width="14.7265625" style="217"/>
    <col min="15617" max="15617" width="32.81640625" style="217" customWidth="1"/>
    <col min="15618" max="15621" width="5.54296875" style="217" customWidth="1"/>
    <col min="15622" max="15622" width="7" style="217" customWidth="1"/>
    <col min="15623" max="15630" width="5.54296875" style="217" customWidth="1"/>
    <col min="15631" max="15631" width="55" style="217" customWidth="1"/>
    <col min="15632" max="15632" width="8.7265625" style="217" customWidth="1"/>
    <col min="15633" max="15633" width="8.1796875" style="217" customWidth="1"/>
    <col min="15634" max="15634" width="7.1796875" style="217" customWidth="1"/>
    <col min="15635" max="15635" width="16.54296875" style="217" bestFit="1" customWidth="1"/>
    <col min="15636" max="15636" width="18.54296875" style="217" customWidth="1"/>
    <col min="15637" max="15863" width="8.7265625" style="217" customWidth="1"/>
    <col min="15864" max="15864" width="39.7265625" style="217" customWidth="1"/>
    <col min="15865" max="15867" width="6.1796875" style="217" customWidth="1"/>
    <col min="15868" max="15868" width="8.453125" style="217" bestFit="1" customWidth="1"/>
    <col min="15869" max="15869" width="12.54296875" style="217" bestFit="1" customWidth="1"/>
    <col min="15870" max="15870" width="27.26953125" style="217" bestFit="1" customWidth="1"/>
    <col min="15871" max="15871" width="9.1796875" style="217" customWidth="1"/>
    <col min="15872" max="15872" width="14.7265625" style="217"/>
    <col min="15873" max="15873" width="32.81640625" style="217" customWidth="1"/>
    <col min="15874" max="15877" width="5.54296875" style="217" customWidth="1"/>
    <col min="15878" max="15878" width="7" style="217" customWidth="1"/>
    <col min="15879" max="15886" width="5.54296875" style="217" customWidth="1"/>
    <col min="15887" max="15887" width="55" style="217" customWidth="1"/>
    <col min="15888" max="15888" width="8.7265625" style="217" customWidth="1"/>
    <col min="15889" max="15889" width="8.1796875" style="217" customWidth="1"/>
    <col min="15890" max="15890" width="7.1796875" style="217" customWidth="1"/>
    <col min="15891" max="15891" width="16.54296875" style="217" bestFit="1" customWidth="1"/>
    <col min="15892" max="15892" width="18.54296875" style="217" customWidth="1"/>
    <col min="15893" max="16119" width="8.7265625" style="217" customWidth="1"/>
    <col min="16120" max="16120" width="39.7265625" style="217" customWidth="1"/>
    <col min="16121" max="16123" width="6.1796875" style="217" customWidth="1"/>
    <col min="16124" max="16124" width="8.453125" style="217" bestFit="1" customWidth="1"/>
    <col min="16125" max="16125" width="12.54296875" style="217" bestFit="1" customWidth="1"/>
    <col min="16126" max="16126" width="27.26953125" style="217" bestFit="1" customWidth="1"/>
    <col min="16127" max="16127" width="9.1796875" style="217" customWidth="1"/>
    <col min="16128" max="16128" width="14.7265625" style="217"/>
    <col min="16129" max="16129" width="32.81640625" style="217" customWidth="1"/>
    <col min="16130" max="16133" width="5.54296875" style="217" customWidth="1"/>
    <col min="16134" max="16134" width="7" style="217" customWidth="1"/>
    <col min="16135" max="16142" width="5.54296875" style="217" customWidth="1"/>
    <col min="16143" max="16143" width="55" style="217" customWidth="1"/>
    <col min="16144" max="16144" width="8.7265625" style="217" customWidth="1"/>
    <col min="16145" max="16145" width="8.1796875" style="217" customWidth="1"/>
    <col min="16146" max="16146" width="7.1796875" style="217" customWidth="1"/>
    <col min="16147" max="16147" width="16.54296875" style="217" bestFit="1" customWidth="1"/>
    <col min="16148" max="16148" width="18.54296875" style="217" customWidth="1"/>
    <col min="16149" max="16375" width="8.7265625" style="217" customWidth="1"/>
    <col min="16376" max="16376" width="39.7265625" style="217" customWidth="1"/>
    <col min="16377" max="16379" width="6.1796875" style="217" customWidth="1"/>
    <col min="16380" max="16380" width="8.453125" style="217" bestFit="1" customWidth="1"/>
    <col min="16381" max="16381" width="12.54296875" style="217" bestFit="1" customWidth="1"/>
    <col min="16382" max="16382" width="27.26953125" style="217" bestFit="1" customWidth="1"/>
    <col min="16383" max="16384" width="9.1796875" style="217" customWidth="1"/>
  </cols>
  <sheetData>
    <row r="1" spans="1:24" ht="32.5" customHeight="1" thickBot="1" x14ac:dyDescent="0.35">
      <c r="B1" s="314"/>
      <c r="C1" s="257"/>
      <c r="D1" s="257"/>
      <c r="E1" s="314" t="s">
        <v>553</v>
      </c>
      <c r="F1" s="257"/>
      <c r="G1" s="257"/>
      <c r="H1" s="257"/>
      <c r="I1" s="257"/>
      <c r="J1" s="257"/>
      <c r="K1" s="257"/>
      <c r="L1" s="257"/>
      <c r="M1" s="257"/>
      <c r="N1" s="257"/>
      <c r="O1" s="257"/>
      <c r="P1" s="257"/>
      <c r="Q1" s="257"/>
      <c r="R1" s="257"/>
      <c r="S1" s="257"/>
    </row>
    <row r="2" spans="1:24" x14ac:dyDescent="0.3">
      <c r="A2" s="1583" t="s">
        <v>282</v>
      </c>
      <c r="B2" s="1519" t="s">
        <v>51</v>
      </c>
      <c r="C2" s="1520"/>
      <c r="D2" s="1520"/>
      <c r="E2" s="1520"/>
      <c r="F2" s="1520"/>
      <c r="G2" s="1520"/>
      <c r="H2" s="1520"/>
      <c r="I2" s="1520"/>
      <c r="J2" s="1520"/>
      <c r="K2" s="1520"/>
      <c r="L2" s="1520"/>
      <c r="M2" s="1520"/>
      <c r="N2" s="1521"/>
      <c r="O2" s="1586" t="s">
        <v>52</v>
      </c>
      <c r="P2" s="1525" t="s">
        <v>53</v>
      </c>
      <c r="Q2" s="1525" t="s">
        <v>53</v>
      </c>
      <c r="R2" s="1525" t="s">
        <v>54</v>
      </c>
      <c r="S2" s="1513" t="s">
        <v>339</v>
      </c>
      <c r="V2" s="166"/>
      <c r="W2" s="166"/>
      <c r="X2" s="166"/>
    </row>
    <row r="3" spans="1:24" x14ac:dyDescent="0.3">
      <c r="A3" s="1584"/>
      <c r="B3" s="262">
        <f t="shared" ref="B3:N3" si="0">SUM(B6:B37)</f>
        <v>0</v>
      </c>
      <c r="C3" s="262">
        <f t="shared" si="0"/>
        <v>0</v>
      </c>
      <c r="D3" s="262">
        <f t="shared" si="0"/>
        <v>0</v>
      </c>
      <c r="E3" s="262">
        <f t="shared" si="0"/>
        <v>74</v>
      </c>
      <c r="F3" s="262">
        <f t="shared" si="0"/>
        <v>77</v>
      </c>
      <c r="G3" s="262">
        <f t="shared" si="0"/>
        <v>45</v>
      </c>
      <c r="H3" s="262">
        <f t="shared" si="0"/>
        <v>40</v>
      </c>
      <c r="I3" s="262">
        <f t="shared" si="0"/>
        <v>40</v>
      </c>
      <c r="J3" s="262">
        <f t="shared" si="0"/>
        <v>40</v>
      </c>
      <c r="K3" s="262">
        <f t="shared" si="0"/>
        <v>35</v>
      </c>
      <c r="L3" s="262">
        <f t="shared" si="0"/>
        <v>40</v>
      </c>
      <c r="M3" s="262">
        <f t="shared" si="0"/>
        <v>30</v>
      </c>
      <c r="N3" s="262">
        <f t="shared" si="0"/>
        <v>30</v>
      </c>
      <c r="O3" s="1587"/>
      <c r="P3" s="1526"/>
      <c r="Q3" s="1526"/>
      <c r="R3" s="1526"/>
      <c r="S3" s="1514"/>
    </row>
    <row r="4" spans="1:24" s="263" customFormat="1" ht="13.5" thickBot="1" x14ac:dyDescent="0.35">
      <c r="A4" s="1585"/>
      <c r="B4" s="417">
        <v>2018</v>
      </c>
      <c r="C4" s="418">
        <v>2019</v>
      </c>
      <c r="D4" s="418">
        <v>2020</v>
      </c>
      <c r="E4" s="55">
        <v>2021</v>
      </c>
      <c r="F4" s="55">
        <v>2022</v>
      </c>
      <c r="G4" s="55">
        <v>2023</v>
      </c>
      <c r="H4" s="55">
        <v>2024</v>
      </c>
      <c r="I4" s="55">
        <v>2025</v>
      </c>
      <c r="J4" s="56">
        <v>2026</v>
      </c>
      <c r="K4" s="56">
        <v>2027</v>
      </c>
      <c r="L4" s="419">
        <v>2028</v>
      </c>
      <c r="M4" s="419">
        <v>2029</v>
      </c>
      <c r="N4" s="419">
        <v>2030</v>
      </c>
      <c r="O4" s="1588"/>
      <c r="P4" s="1527"/>
      <c r="Q4" s="1527"/>
      <c r="R4" s="1527"/>
      <c r="S4" s="1515"/>
    </row>
    <row r="5" spans="1:24" s="263" customFormat="1" x14ac:dyDescent="0.3">
      <c r="A5" s="317">
        <v>1</v>
      </c>
      <c r="B5" s="317">
        <v>2</v>
      </c>
      <c r="C5" s="317">
        <v>3</v>
      </c>
      <c r="D5" s="317">
        <v>4</v>
      </c>
      <c r="E5" s="317">
        <v>5</v>
      </c>
      <c r="F5" s="317">
        <v>6</v>
      </c>
      <c r="G5" s="317">
        <v>7</v>
      </c>
      <c r="H5" s="317">
        <v>8</v>
      </c>
      <c r="I5" s="317">
        <v>9</v>
      </c>
      <c r="J5" s="317">
        <v>10</v>
      </c>
      <c r="K5" s="317">
        <v>11</v>
      </c>
      <c r="L5" s="317">
        <v>12</v>
      </c>
      <c r="M5" s="317">
        <v>13</v>
      </c>
      <c r="N5" s="317">
        <v>14</v>
      </c>
      <c r="O5" s="317">
        <v>15</v>
      </c>
      <c r="P5" s="317">
        <v>16</v>
      </c>
      <c r="Q5" s="317">
        <v>17</v>
      </c>
      <c r="R5" s="317">
        <v>18</v>
      </c>
      <c r="S5" s="317">
        <v>19</v>
      </c>
    </row>
    <row r="6" spans="1:24" s="263" customFormat="1" ht="26" x14ac:dyDescent="0.3">
      <c r="A6" s="264" t="s">
        <v>55</v>
      </c>
      <c r="B6" s="265"/>
      <c r="C6" s="265"/>
      <c r="D6" s="265"/>
      <c r="E6" s="266"/>
      <c r="F6" s="176"/>
      <c r="G6" s="266"/>
      <c r="H6" s="266"/>
      <c r="I6" s="266"/>
      <c r="J6" s="266"/>
      <c r="K6" s="266"/>
      <c r="L6" s="266"/>
      <c r="M6" s="266"/>
      <c r="N6" s="266"/>
      <c r="O6" s="267"/>
      <c r="P6" s="268"/>
      <c r="Q6" s="268"/>
      <c r="R6" s="268"/>
      <c r="S6" s="268"/>
    </row>
    <row r="7" spans="1:24" s="274" customFormat="1" ht="39" x14ac:dyDescent="0.3">
      <c r="A7" s="269" t="s">
        <v>283</v>
      </c>
      <c r="B7" s="58"/>
      <c r="C7" s="58"/>
      <c r="D7" s="58"/>
      <c r="E7" s="58"/>
      <c r="F7" s="58">
        <v>10</v>
      </c>
      <c r="G7" s="58">
        <v>10</v>
      </c>
      <c r="H7" s="58"/>
      <c r="I7" s="180"/>
      <c r="J7" s="180"/>
      <c r="K7" s="180"/>
      <c r="L7" s="180"/>
      <c r="M7" s="180"/>
      <c r="N7" s="270"/>
      <c r="O7" s="252" t="s">
        <v>284</v>
      </c>
      <c r="P7" s="271">
        <v>17.5</v>
      </c>
      <c r="Q7" s="271">
        <v>26</v>
      </c>
      <c r="R7" s="271">
        <v>8.5</v>
      </c>
      <c r="S7" s="272">
        <v>16500</v>
      </c>
      <c r="T7" s="273"/>
      <c r="V7" s="275"/>
    </row>
    <row r="8" spans="1:24" s="274" customFormat="1" ht="52" x14ac:dyDescent="0.3">
      <c r="A8" s="269" t="s">
        <v>331</v>
      </c>
      <c r="B8" s="58"/>
      <c r="C8" s="58"/>
      <c r="D8" s="58"/>
      <c r="E8" s="58"/>
      <c r="F8" s="70"/>
      <c r="G8" s="58">
        <v>5</v>
      </c>
      <c r="H8" s="58">
        <v>5</v>
      </c>
      <c r="I8" s="180"/>
      <c r="J8" s="180"/>
      <c r="K8" s="180"/>
      <c r="L8" s="180"/>
      <c r="M8" s="180"/>
      <c r="N8" s="270"/>
      <c r="O8" s="252" t="s">
        <v>434</v>
      </c>
      <c r="P8" s="271">
        <v>26</v>
      </c>
      <c r="Q8" s="271">
        <v>65</v>
      </c>
      <c r="R8" s="271">
        <v>39</v>
      </c>
      <c r="S8" s="272" t="s">
        <v>285</v>
      </c>
      <c r="T8" s="273"/>
      <c r="V8" s="275"/>
    </row>
    <row r="9" spans="1:24" s="274" customFormat="1" ht="52" x14ac:dyDescent="0.3">
      <c r="A9" s="269" t="s">
        <v>332</v>
      </c>
      <c r="B9" s="58"/>
      <c r="C9" s="58"/>
      <c r="D9" s="58"/>
      <c r="E9" s="58">
        <v>5</v>
      </c>
      <c r="F9" s="70">
        <v>7</v>
      </c>
      <c r="G9" s="58"/>
      <c r="H9" s="58"/>
      <c r="I9" s="180"/>
      <c r="J9" s="180"/>
      <c r="K9" s="180"/>
      <c r="L9" s="180"/>
      <c r="M9" s="180"/>
      <c r="N9" s="270"/>
      <c r="O9" s="252" t="s">
        <v>286</v>
      </c>
      <c r="P9" s="271">
        <v>78</v>
      </c>
      <c r="Q9" s="271">
        <v>88</v>
      </c>
      <c r="R9" s="271">
        <v>10</v>
      </c>
      <c r="S9" s="272">
        <v>5800</v>
      </c>
      <c r="T9" s="273"/>
      <c r="V9" s="275"/>
    </row>
    <row r="10" spans="1:24" s="274" customFormat="1" ht="52" x14ac:dyDescent="0.3">
      <c r="A10" s="269" t="s">
        <v>333</v>
      </c>
      <c r="B10" s="58"/>
      <c r="C10" s="58"/>
      <c r="D10" s="58"/>
      <c r="E10" s="58"/>
      <c r="F10" s="70"/>
      <c r="G10" s="58">
        <v>5</v>
      </c>
      <c r="H10" s="58">
        <v>5</v>
      </c>
      <c r="I10" s="180">
        <v>5</v>
      </c>
      <c r="J10" s="180">
        <v>5</v>
      </c>
      <c r="K10" s="180">
        <v>5</v>
      </c>
      <c r="L10" s="416">
        <v>5</v>
      </c>
      <c r="M10" s="416">
        <v>10</v>
      </c>
      <c r="N10" s="416">
        <v>10</v>
      </c>
      <c r="O10" s="252" t="s">
        <v>287</v>
      </c>
      <c r="P10" s="271">
        <v>88</v>
      </c>
      <c r="Q10" s="271">
        <v>208</v>
      </c>
      <c r="R10" s="271">
        <v>120</v>
      </c>
      <c r="S10" s="272" t="s">
        <v>288</v>
      </c>
      <c r="T10" s="275"/>
      <c r="V10" s="275"/>
    </row>
    <row r="11" spans="1:24" s="261" customFormat="1" ht="26" x14ac:dyDescent="0.3">
      <c r="A11" s="276" t="s">
        <v>64</v>
      </c>
      <c r="B11" s="277"/>
      <c r="C11" s="277"/>
      <c r="D11" s="277"/>
      <c r="E11" s="178"/>
      <c r="F11" s="178"/>
      <c r="G11" s="178"/>
      <c r="H11" s="178"/>
      <c r="I11" s="178"/>
      <c r="J11" s="178"/>
      <c r="K11" s="178"/>
      <c r="L11" s="178"/>
      <c r="M11" s="178"/>
      <c r="N11" s="278"/>
      <c r="O11" s="253"/>
      <c r="P11" s="72"/>
      <c r="Q11" s="72"/>
      <c r="R11" s="72"/>
      <c r="S11" s="72"/>
    </row>
    <row r="12" spans="1:24" s="281" customFormat="1" ht="39" x14ac:dyDescent="0.3">
      <c r="A12" s="269" t="s">
        <v>409</v>
      </c>
      <c r="B12" s="284"/>
      <c r="C12" s="58"/>
      <c r="D12" s="58"/>
      <c r="E12" s="58">
        <v>40</v>
      </c>
      <c r="F12" s="58">
        <v>40</v>
      </c>
      <c r="G12" s="279"/>
      <c r="H12" s="58"/>
      <c r="I12" s="58"/>
      <c r="J12" s="58"/>
      <c r="K12" s="58"/>
      <c r="L12" s="58"/>
      <c r="M12" s="58"/>
      <c r="N12" s="58"/>
      <c r="O12" s="252" t="s">
        <v>289</v>
      </c>
      <c r="P12" s="57">
        <v>40</v>
      </c>
      <c r="Q12" s="57">
        <v>85</v>
      </c>
      <c r="R12" s="57">
        <f>Q12-P12</f>
        <v>45</v>
      </c>
      <c r="S12" s="58">
        <v>7700</v>
      </c>
      <c r="T12" s="280" t="s">
        <v>290</v>
      </c>
    </row>
    <row r="13" spans="1:24" s="281" customFormat="1" x14ac:dyDescent="0.3">
      <c r="A13" s="269" t="s">
        <v>291</v>
      </c>
      <c r="B13" s="58"/>
      <c r="C13" s="58"/>
      <c r="D13" s="58"/>
      <c r="E13" s="70"/>
      <c r="F13" s="282"/>
      <c r="G13" s="58"/>
      <c r="H13" s="58"/>
      <c r="I13" s="58"/>
      <c r="J13" s="58">
        <v>10</v>
      </c>
      <c r="K13" s="58">
        <v>10</v>
      </c>
      <c r="L13" s="58"/>
      <c r="M13" s="58"/>
      <c r="N13" s="58"/>
      <c r="O13" s="252" t="s">
        <v>292</v>
      </c>
      <c r="P13" s="57">
        <v>92</v>
      </c>
      <c r="Q13" s="57">
        <v>102</v>
      </c>
      <c r="R13" s="57">
        <v>10</v>
      </c>
      <c r="S13" s="58">
        <v>7300</v>
      </c>
      <c r="T13" s="283"/>
    </row>
    <row r="14" spans="1:24" s="281" customFormat="1" ht="39" x14ac:dyDescent="0.3">
      <c r="A14" s="269" t="s">
        <v>293</v>
      </c>
      <c r="B14" s="284"/>
      <c r="C14" s="284"/>
      <c r="D14" s="284"/>
      <c r="E14" s="70"/>
      <c r="F14" s="282"/>
      <c r="G14" s="58">
        <v>5</v>
      </c>
      <c r="H14" s="58">
        <v>5</v>
      </c>
      <c r="I14" s="58">
        <v>5</v>
      </c>
      <c r="J14" s="58"/>
      <c r="K14" s="58"/>
      <c r="L14" s="58"/>
      <c r="M14" s="58"/>
      <c r="N14" s="58"/>
      <c r="O14" s="252" t="s">
        <v>294</v>
      </c>
      <c r="P14" s="57">
        <v>102</v>
      </c>
      <c r="Q14" s="57">
        <v>178</v>
      </c>
      <c r="R14" s="57">
        <f>Q14-P14</f>
        <v>76</v>
      </c>
      <c r="S14" s="58" t="s">
        <v>295</v>
      </c>
    </row>
    <row r="15" spans="1:24" s="281" customFormat="1" ht="26" x14ac:dyDescent="0.3">
      <c r="A15" s="269" t="s">
        <v>296</v>
      </c>
      <c r="B15" s="284"/>
      <c r="C15" s="284"/>
      <c r="D15" s="284"/>
      <c r="E15" s="70"/>
      <c r="F15" s="282"/>
      <c r="G15" s="58"/>
      <c r="H15" s="58"/>
      <c r="I15" s="58"/>
      <c r="J15" s="58"/>
      <c r="K15" s="58"/>
      <c r="L15" s="284">
        <v>10</v>
      </c>
      <c r="M15" s="58"/>
      <c r="N15" s="58"/>
      <c r="O15" s="252" t="s">
        <v>297</v>
      </c>
      <c r="P15" s="57">
        <v>109</v>
      </c>
      <c r="Q15" s="57">
        <v>112</v>
      </c>
      <c r="R15" s="57">
        <v>3</v>
      </c>
      <c r="S15" s="58">
        <v>6400</v>
      </c>
    </row>
    <row r="16" spans="1:24" s="281" customFormat="1" ht="26" x14ac:dyDescent="0.3">
      <c r="A16" s="269" t="s">
        <v>298</v>
      </c>
      <c r="B16" s="284"/>
      <c r="C16" s="284"/>
      <c r="D16" s="284"/>
      <c r="E16" s="70"/>
      <c r="F16" s="282"/>
      <c r="G16" s="58"/>
      <c r="H16" s="58"/>
      <c r="I16" s="58"/>
      <c r="J16" s="58"/>
      <c r="K16" s="58"/>
      <c r="L16" s="58"/>
      <c r="M16" s="58"/>
      <c r="N16" s="284">
        <v>15</v>
      </c>
      <c r="O16" s="252" t="s">
        <v>299</v>
      </c>
      <c r="P16" s="57">
        <v>116</v>
      </c>
      <c r="Q16" s="57">
        <v>124</v>
      </c>
      <c r="R16" s="57">
        <v>8</v>
      </c>
      <c r="S16" s="58">
        <v>6400</v>
      </c>
    </row>
    <row r="17" spans="1:21" s="281" customFormat="1" x14ac:dyDescent="0.3">
      <c r="A17" s="269" t="s">
        <v>300</v>
      </c>
      <c r="B17" s="284"/>
      <c r="C17" s="284"/>
      <c r="D17" s="284"/>
      <c r="E17" s="70"/>
      <c r="F17" s="285"/>
      <c r="G17" s="58"/>
      <c r="H17" s="58"/>
      <c r="I17" s="58"/>
      <c r="J17" s="58">
        <v>10</v>
      </c>
      <c r="K17" s="58">
        <v>5</v>
      </c>
      <c r="L17" s="58"/>
      <c r="M17" s="58"/>
      <c r="N17" s="58"/>
      <c r="O17" s="252" t="s">
        <v>301</v>
      </c>
      <c r="P17" s="57">
        <v>126</v>
      </c>
      <c r="Q17" s="57">
        <v>132</v>
      </c>
      <c r="R17" s="57">
        <v>8</v>
      </c>
      <c r="S17" s="58">
        <v>6200</v>
      </c>
    </row>
    <row r="18" spans="1:21" s="281" customFormat="1" ht="26" x14ac:dyDescent="0.3">
      <c r="A18" s="269" t="s">
        <v>302</v>
      </c>
      <c r="B18" s="284"/>
      <c r="C18" s="284"/>
      <c r="D18" s="284"/>
      <c r="E18" s="58"/>
      <c r="F18" s="289"/>
      <c r="G18" s="58"/>
      <c r="H18" s="58"/>
      <c r="I18" s="58"/>
      <c r="J18" s="58"/>
      <c r="K18" s="58"/>
      <c r="L18" s="284">
        <v>10</v>
      </c>
      <c r="M18" s="58"/>
      <c r="N18" s="58"/>
      <c r="O18" s="252" t="s">
        <v>297</v>
      </c>
      <c r="P18" s="57">
        <v>178</v>
      </c>
      <c r="Q18" s="57">
        <v>180</v>
      </c>
      <c r="R18" s="57">
        <v>2</v>
      </c>
      <c r="S18" s="58">
        <v>6300</v>
      </c>
    </row>
    <row r="19" spans="1:21" s="281" customFormat="1" ht="39" x14ac:dyDescent="0.3">
      <c r="A19" s="269" t="s">
        <v>334</v>
      </c>
      <c r="B19" s="58"/>
      <c r="C19" s="58"/>
      <c r="D19" s="58"/>
      <c r="E19" s="58">
        <v>9</v>
      </c>
      <c r="F19" s="58"/>
      <c r="G19" s="284"/>
      <c r="H19" s="284"/>
      <c r="I19" s="284"/>
      <c r="J19" s="284"/>
      <c r="K19" s="284"/>
      <c r="L19" s="284"/>
      <c r="M19" s="58"/>
      <c r="N19" s="58"/>
      <c r="O19" s="252" t="s">
        <v>303</v>
      </c>
      <c r="P19" s="57">
        <v>184.1</v>
      </c>
      <c r="Q19" s="57">
        <v>185.9</v>
      </c>
      <c r="R19" s="57">
        <f>Q19-P19</f>
        <v>1.8000000000000114</v>
      </c>
      <c r="S19" s="58">
        <v>12000</v>
      </c>
      <c r="U19" s="281" t="s">
        <v>73</v>
      </c>
    </row>
    <row r="20" spans="1:21" s="281" customFormat="1" ht="26" x14ac:dyDescent="0.3">
      <c r="A20" s="269" t="s">
        <v>304</v>
      </c>
      <c r="B20" s="58"/>
      <c r="C20" s="58"/>
      <c r="D20" s="58"/>
      <c r="E20" s="70"/>
      <c r="F20" s="70"/>
      <c r="G20" s="284"/>
      <c r="H20" s="284"/>
      <c r="I20" s="284"/>
      <c r="J20" s="284"/>
      <c r="K20" s="284"/>
      <c r="L20" s="284">
        <v>10</v>
      </c>
      <c r="M20" s="284">
        <v>5</v>
      </c>
      <c r="N20" s="58"/>
      <c r="O20" s="252" t="s">
        <v>305</v>
      </c>
      <c r="P20" s="57">
        <v>192</v>
      </c>
      <c r="Q20" s="57">
        <v>194.2</v>
      </c>
      <c r="R20" s="57">
        <v>2.2000000000000002</v>
      </c>
      <c r="S20" s="58">
        <v>9000</v>
      </c>
    </row>
    <row r="21" spans="1:21" s="281" customFormat="1" x14ac:dyDescent="0.3">
      <c r="A21" s="269" t="s">
        <v>306</v>
      </c>
      <c r="B21" s="286"/>
      <c r="C21" s="286"/>
      <c r="D21" s="286"/>
      <c r="E21" s="58"/>
      <c r="F21" s="70"/>
      <c r="G21" s="284"/>
      <c r="H21" s="284"/>
      <c r="I21" s="284"/>
      <c r="J21" s="284"/>
      <c r="K21" s="284"/>
      <c r="L21" s="284"/>
      <c r="M21" s="284">
        <v>5</v>
      </c>
      <c r="N21" s="284">
        <v>5</v>
      </c>
      <c r="O21" s="252" t="s">
        <v>307</v>
      </c>
      <c r="P21" s="57">
        <v>194.2</v>
      </c>
      <c r="Q21" s="57">
        <v>201</v>
      </c>
      <c r="R21" s="57">
        <v>6.8</v>
      </c>
      <c r="S21" s="57" t="s">
        <v>308</v>
      </c>
    </row>
    <row r="22" spans="1:21" s="261" customFormat="1" ht="26" x14ac:dyDescent="0.3">
      <c r="A22" s="276" t="s">
        <v>76</v>
      </c>
      <c r="B22" s="277"/>
      <c r="C22" s="277"/>
      <c r="D22" s="277"/>
      <c r="E22" s="178"/>
      <c r="F22" s="178"/>
      <c r="G22" s="178"/>
      <c r="H22" s="178"/>
      <c r="I22" s="178"/>
      <c r="J22" s="178"/>
      <c r="K22" s="178"/>
      <c r="L22" s="178"/>
      <c r="M22" s="178"/>
      <c r="N22" s="278"/>
      <c r="O22" s="253"/>
      <c r="P22" s="72"/>
      <c r="Q22" s="72"/>
      <c r="R22" s="72"/>
      <c r="S22" s="72"/>
    </row>
    <row r="23" spans="1:21" s="261" customFormat="1" ht="26" x14ac:dyDescent="0.3">
      <c r="A23" s="287" t="s">
        <v>309</v>
      </c>
      <c r="B23" s="288"/>
      <c r="C23" s="288"/>
      <c r="D23" s="288"/>
      <c r="E23" s="70"/>
      <c r="F23" s="70"/>
      <c r="G23" s="70"/>
      <c r="H23" s="70"/>
      <c r="I23" s="70">
        <v>5</v>
      </c>
      <c r="J23" s="70">
        <v>5</v>
      </c>
      <c r="K23" s="70">
        <v>10</v>
      </c>
      <c r="L23" s="70"/>
      <c r="M23" s="70"/>
      <c r="N23" s="70"/>
      <c r="O23" s="254" t="s">
        <v>310</v>
      </c>
      <c r="P23" s="71">
        <v>138.69999999999999</v>
      </c>
      <c r="Q23" s="71">
        <v>148</v>
      </c>
      <c r="R23" s="71">
        <v>9.3000000000000007</v>
      </c>
      <c r="S23" s="71" t="s">
        <v>311</v>
      </c>
    </row>
    <row r="24" spans="1:21" s="261" customFormat="1" ht="26" x14ac:dyDescent="0.3">
      <c r="A24" s="276" t="s">
        <v>77</v>
      </c>
      <c r="B24" s="277"/>
      <c r="C24" s="277"/>
      <c r="D24" s="277"/>
      <c r="E24" s="178"/>
      <c r="F24" s="178"/>
      <c r="G24" s="178"/>
      <c r="H24" s="178"/>
      <c r="I24" s="178"/>
      <c r="J24" s="178"/>
      <c r="K24" s="178"/>
      <c r="L24" s="178"/>
      <c r="M24" s="178"/>
      <c r="N24" s="278"/>
      <c r="O24" s="253"/>
      <c r="P24" s="72"/>
      <c r="Q24" s="72"/>
      <c r="R24" s="72"/>
      <c r="S24" s="178"/>
    </row>
    <row r="25" spans="1:21" s="281" customFormat="1" ht="52" x14ac:dyDescent="0.3">
      <c r="A25" s="269" t="s">
        <v>312</v>
      </c>
      <c r="B25" s="58"/>
      <c r="C25" s="58"/>
      <c r="D25" s="58"/>
      <c r="E25" s="58">
        <v>5</v>
      </c>
      <c r="F25" s="70">
        <v>5</v>
      </c>
      <c r="G25" s="58">
        <v>5</v>
      </c>
      <c r="H25" s="58">
        <v>5</v>
      </c>
      <c r="I25" s="289">
        <v>5</v>
      </c>
      <c r="J25" s="289">
        <v>5</v>
      </c>
      <c r="K25" s="289"/>
      <c r="L25" s="289"/>
      <c r="M25" s="289"/>
      <c r="N25" s="58"/>
      <c r="O25" s="252" t="s">
        <v>313</v>
      </c>
      <c r="P25" s="57">
        <v>42</v>
      </c>
      <c r="Q25" s="57">
        <v>119</v>
      </c>
      <c r="R25" s="57">
        <v>50</v>
      </c>
      <c r="S25" s="58" t="s">
        <v>314</v>
      </c>
    </row>
    <row r="26" spans="1:21" s="281" customFormat="1" ht="26" x14ac:dyDescent="0.3">
      <c r="A26" s="269" t="s">
        <v>315</v>
      </c>
      <c r="B26" s="58"/>
      <c r="C26" s="58"/>
      <c r="D26" s="58"/>
      <c r="E26" s="58"/>
      <c r="F26" s="70"/>
      <c r="G26" s="58">
        <v>5</v>
      </c>
      <c r="H26" s="58">
        <v>10</v>
      </c>
      <c r="I26" s="289"/>
      <c r="J26" s="180"/>
      <c r="K26" s="289"/>
      <c r="L26" s="289"/>
      <c r="M26" s="289"/>
      <c r="N26" s="58"/>
      <c r="O26" s="252" t="s">
        <v>316</v>
      </c>
      <c r="P26" s="57">
        <v>92</v>
      </c>
      <c r="Q26" s="57">
        <v>99</v>
      </c>
      <c r="R26" s="57">
        <v>7</v>
      </c>
      <c r="S26" s="58">
        <v>7300</v>
      </c>
    </row>
    <row r="27" spans="1:21" s="281" customFormat="1" ht="26" x14ac:dyDescent="0.3">
      <c r="A27" s="269" t="s">
        <v>317</v>
      </c>
      <c r="B27" s="58"/>
      <c r="C27" s="58"/>
      <c r="D27" s="58"/>
      <c r="E27" s="58"/>
      <c r="F27" s="70"/>
      <c r="G27" s="58"/>
      <c r="H27" s="58">
        <v>5</v>
      </c>
      <c r="I27" s="180">
        <v>10</v>
      </c>
      <c r="J27" s="289"/>
      <c r="K27" s="180"/>
      <c r="L27" s="180"/>
      <c r="M27" s="289"/>
      <c r="N27" s="58"/>
      <c r="O27" s="255" t="s">
        <v>318</v>
      </c>
      <c r="P27" s="57">
        <v>107.9</v>
      </c>
      <c r="Q27" s="57">
        <v>115.2</v>
      </c>
      <c r="R27" s="57">
        <f>Q27-P27</f>
        <v>7.2999999999999972</v>
      </c>
      <c r="S27" s="58">
        <v>7300</v>
      </c>
    </row>
    <row r="28" spans="1:21" s="281" customFormat="1" ht="26" x14ac:dyDescent="0.3">
      <c r="A28" s="269" t="s">
        <v>319</v>
      </c>
      <c r="B28" s="58"/>
      <c r="C28" s="58"/>
      <c r="D28" s="58"/>
      <c r="E28" s="70">
        <v>5</v>
      </c>
      <c r="F28" s="70">
        <v>5</v>
      </c>
      <c r="G28" s="180"/>
      <c r="H28" s="58"/>
      <c r="I28" s="58"/>
      <c r="J28" s="58"/>
      <c r="K28" s="58"/>
      <c r="L28" s="58"/>
      <c r="M28" s="58"/>
      <c r="N28" s="58"/>
      <c r="O28" s="252" t="s">
        <v>320</v>
      </c>
      <c r="P28" s="57">
        <v>134</v>
      </c>
      <c r="Q28" s="57">
        <v>141</v>
      </c>
      <c r="R28" s="57">
        <f>Q28-P28</f>
        <v>7</v>
      </c>
      <c r="S28" s="58">
        <v>8500</v>
      </c>
    </row>
    <row r="29" spans="1:21" s="261" customFormat="1" ht="26" x14ac:dyDescent="0.3">
      <c r="A29" s="276" t="s">
        <v>87</v>
      </c>
      <c r="B29" s="277"/>
      <c r="C29" s="277"/>
      <c r="D29" s="277"/>
      <c r="E29" s="178"/>
      <c r="F29" s="178"/>
      <c r="G29" s="178"/>
      <c r="H29" s="178"/>
      <c r="I29" s="178"/>
      <c r="J29" s="178"/>
      <c r="K29" s="178"/>
      <c r="L29" s="178"/>
      <c r="M29" s="178"/>
      <c r="N29" s="278"/>
      <c r="O29" s="253"/>
      <c r="P29" s="72"/>
      <c r="Q29" s="72"/>
      <c r="R29" s="72"/>
      <c r="S29" s="72"/>
    </row>
    <row r="30" spans="1:21" s="261" customFormat="1" ht="26" x14ac:dyDescent="0.3">
      <c r="A30" s="276" t="s">
        <v>90</v>
      </c>
      <c r="B30" s="277"/>
      <c r="C30" s="277"/>
      <c r="D30" s="277"/>
      <c r="E30" s="178"/>
      <c r="F30" s="178"/>
      <c r="G30" s="178"/>
      <c r="H30" s="178"/>
      <c r="I30" s="178"/>
      <c r="J30" s="178"/>
      <c r="K30" s="178"/>
      <c r="L30" s="178"/>
      <c r="M30" s="178"/>
      <c r="N30" s="278"/>
      <c r="O30" s="253"/>
      <c r="P30" s="72"/>
      <c r="Q30" s="72"/>
      <c r="R30" s="72"/>
      <c r="S30" s="72"/>
    </row>
    <row r="31" spans="1:21" s="281" customFormat="1" ht="39" x14ac:dyDescent="0.3">
      <c r="A31" s="269" t="s">
        <v>321</v>
      </c>
      <c r="B31" s="58"/>
      <c r="C31" s="58"/>
      <c r="D31" s="58"/>
      <c r="E31" s="58">
        <v>10</v>
      </c>
      <c r="F31" s="180">
        <v>10</v>
      </c>
      <c r="G31" s="58"/>
      <c r="H31" s="58"/>
      <c r="I31" s="58"/>
      <c r="J31" s="58"/>
      <c r="K31" s="58"/>
      <c r="L31" s="58"/>
      <c r="M31" s="58"/>
      <c r="N31" s="58"/>
      <c r="O31" s="252" t="s">
        <v>322</v>
      </c>
      <c r="P31" s="57">
        <v>11</v>
      </c>
      <c r="Q31" s="57">
        <v>14</v>
      </c>
      <c r="R31" s="57">
        <f>Q31-P31</f>
        <v>3</v>
      </c>
      <c r="S31" s="58">
        <v>14000</v>
      </c>
    </row>
    <row r="32" spans="1:21" s="281" customFormat="1" ht="39" x14ac:dyDescent="0.3">
      <c r="A32" s="269" t="s">
        <v>335</v>
      </c>
      <c r="B32" s="284"/>
      <c r="C32" s="284"/>
      <c r="D32" s="284"/>
      <c r="E32" s="290"/>
      <c r="F32" s="282"/>
      <c r="G32" s="58"/>
      <c r="H32" s="58"/>
      <c r="I32" s="58">
        <v>5</v>
      </c>
      <c r="J32" s="58">
        <v>5</v>
      </c>
      <c r="K32" s="58">
        <v>5</v>
      </c>
      <c r="L32" s="284">
        <v>5</v>
      </c>
      <c r="M32" s="284">
        <v>10</v>
      </c>
      <c r="N32" s="58"/>
      <c r="O32" s="252" t="s">
        <v>323</v>
      </c>
      <c r="P32" s="57">
        <v>14</v>
      </c>
      <c r="Q32" s="57">
        <v>46.8</v>
      </c>
      <c r="R32" s="57">
        <v>32.799999999999997</v>
      </c>
      <c r="S32" s="58" t="s">
        <v>324</v>
      </c>
    </row>
    <row r="33" spans="1:255" s="261" customFormat="1" ht="26" x14ac:dyDescent="0.3">
      <c r="A33" s="276" t="s">
        <v>92</v>
      </c>
      <c r="B33" s="277"/>
      <c r="C33" s="277"/>
      <c r="D33" s="277"/>
      <c r="E33" s="178"/>
      <c r="F33" s="178"/>
      <c r="G33" s="178"/>
      <c r="H33" s="178"/>
      <c r="I33" s="178"/>
      <c r="J33" s="178"/>
      <c r="K33" s="178"/>
      <c r="L33" s="178"/>
      <c r="M33" s="178"/>
      <c r="N33" s="278"/>
      <c r="O33" s="253"/>
      <c r="P33" s="291"/>
      <c r="Q33" s="291"/>
      <c r="R33" s="291"/>
      <c r="S33" s="291"/>
    </row>
    <row r="34" spans="1:255" s="261" customFormat="1" ht="26" x14ac:dyDescent="0.3">
      <c r="A34" s="276" t="s">
        <v>93</v>
      </c>
      <c r="B34" s="277"/>
      <c r="C34" s="277"/>
      <c r="D34" s="277"/>
      <c r="E34" s="178"/>
      <c r="F34" s="178"/>
      <c r="G34" s="178"/>
      <c r="H34" s="178"/>
      <c r="I34" s="178"/>
      <c r="J34" s="178"/>
      <c r="K34" s="178"/>
      <c r="L34" s="178"/>
      <c r="M34" s="178"/>
      <c r="N34" s="278"/>
      <c r="O34" s="253"/>
      <c r="P34" s="278"/>
      <c r="Q34" s="278"/>
      <c r="R34" s="278"/>
      <c r="S34" s="291"/>
    </row>
    <row r="35" spans="1:255" s="281" customFormat="1" ht="26" x14ac:dyDescent="0.3">
      <c r="A35" s="276" t="s">
        <v>94</v>
      </c>
      <c r="B35" s="277"/>
      <c r="C35" s="277"/>
      <c r="D35" s="277"/>
      <c r="E35" s="178"/>
      <c r="F35" s="178"/>
      <c r="G35" s="178"/>
      <c r="H35" s="178"/>
      <c r="I35" s="178"/>
      <c r="J35" s="178"/>
      <c r="K35" s="178"/>
      <c r="L35" s="178"/>
      <c r="M35" s="178"/>
      <c r="N35" s="278"/>
      <c r="O35" s="253"/>
      <c r="P35" s="278"/>
      <c r="Q35" s="278"/>
      <c r="R35" s="278"/>
      <c r="S35" s="72"/>
    </row>
    <row r="36" spans="1:255" s="281" customFormat="1" ht="39" x14ac:dyDescent="0.3">
      <c r="A36" s="293" t="s">
        <v>338</v>
      </c>
      <c r="B36" s="65"/>
      <c r="C36" s="65"/>
      <c r="D36" s="65"/>
      <c r="E36" s="65"/>
      <c r="F36" s="294"/>
      <c r="G36" s="65">
        <v>10</v>
      </c>
      <c r="H36" s="65">
        <v>5</v>
      </c>
      <c r="I36" s="295">
        <v>5</v>
      </c>
      <c r="J36" s="295"/>
      <c r="K36" s="295"/>
      <c r="L36" s="295"/>
      <c r="M36" s="295"/>
      <c r="N36" s="65"/>
      <c r="O36" s="252" t="s">
        <v>327</v>
      </c>
      <c r="P36" s="57">
        <v>32.5</v>
      </c>
      <c r="Q36" s="57">
        <v>37.799999999999997</v>
      </c>
      <c r="R36" s="57">
        <f>Q36-P36</f>
        <v>5.2999999999999972</v>
      </c>
      <c r="S36" s="58">
        <v>8200</v>
      </c>
    </row>
    <row r="37" spans="1:255" s="428" customFormat="1" ht="39.5" thickBot="1" x14ac:dyDescent="0.35">
      <c r="A37" s="296" t="s">
        <v>328</v>
      </c>
      <c r="B37" s="580"/>
      <c r="C37" s="422"/>
      <c r="D37" s="581"/>
      <c r="E37" s="422"/>
      <c r="F37" s="422"/>
      <c r="G37" s="422"/>
      <c r="H37" s="422"/>
      <c r="I37" s="423"/>
      <c r="J37" s="423"/>
      <c r="K37" s="423"/>
      <c r="L37" s="423"/>
      <c r="M37" s="423"/>
      <c r="N37" s="424"/>
      <c r="O37" s="425" t="s">
        <v>329</v>
      </c>
      <c r="P37" s="426">
        <v>2.6</v>
      </c>
      <c r="Q37" s="426">
        <v>4.0999999999999996</v>
      </c>
      <c r="R37" s="426">
        <v>1.5</v>
      </c>
      <c r="S37" s="427">
        <v>15500</v>
      </c>
    </row>
    <row r="38" spans="1:255" s="281" customFormat="1" ht="13.5" thickBot="1" x14ac:dyDescent="0.35">
      <c r="A38" s="297" t="s">
        <v>330</v>
      </c>
      <c r="B38" s="298"/>
      <c r="C38" s="298">
        <f>SUM(C7:C37)</f>
        <v>0</v>
      </c>
      <c r="D38" s="298"/>
      <c r="E38" s="298">
        <f t="shared" ref="E38:N38" si="1">SUM(E7:E37)</f>
        <v>74</v>
      </c>
      <c r="F38" s="298">
        <f t="shared" si="1"/>
        <v>77</v>
      </c>
      <c r="G38" s="298">
        <f t="shared" si="1"/>
        <v>45</v>
      </c>
      <c r="H38" s="298">
        <f t="shared" si="1"/>
        <v>40</v>
      </c>
      <c r="I38" s="298">
        <f t="shared" si="1"/>
        <v>40</v>
      </c>
      <c r="J38" s="298">
        <f t="shared" si="1"/>
        <v>40</v>
      </c>
      <c r="K38" s="298">
        <f t="shared" si="1"/>
        <v>35</v>
      </c>
      <c r="L38" s="298">
        <f t="shared" si="1"/>
        <v>40</v>
      </c>
      <c r="M38" s="298">
        <f t="shared" si="1"/>
        <v>30</v>
      </c>
      <c r="N38" s="298">
        <f t="shared" si="1"/>
        <v>30</v>
      </c>
      <c r="O38" s="299"/>
      <c r="P38" s="57"/>
      <c r="Q38" s="57"/>
      <c r="R38" s="57"/>
      <c r="S38" s="58"/>
    </row>
    <row r="39" spans="1:255" x14ac:dyDescent="0.3">
      <c r="A39" s="300"/>
      <c r="B39" s="301"/>
      <c r="C39" s="301"/>
      <c r="D39" s="301"/>
      <c r="E39" s="301"/>
      <c r="F39" s="302"/>
      <c r="G39" s="301"/>
      <c r="H39" s="301"/>
      <c r="I39" s="301"/>
      <c r="J39" s="301"/>
      <c r="K39" s="301"/>
      <c r="L39" s="301"/>
      <c r="M39" s="301"/>
      <c r="N39" s="301"/>
      <c r="O39" s="303"/>
    </row>
    <row r="40" spans="1:255" x14ac:dyDescent="0.3">
      <c r="A40" s="300"/>
      <c r="B40" s="301"/>
      <c r="C40" s="301"/>
      <c r="D40" s="301"/>
      <c r="E40" s="301"/>
      <c r="F40" s="302"/>
      <c r="G40" s="301"/>
      <c r="H40" s="301"/>
      <c r="I40" s="301"/>
      <c r="J40" s="301"/>
      <c r="K40" s="301"/>
      <c r="L40" s="301"/>
      <c r="M40" s="301"/>
      <c r="N40" s="301"/>
      <c r="O40" s="303"/>
    </row>
    <row r="41" spans="1:255" x14ac:dyDescent="0.3">
      <c r="A41" s="300"/>
      <c r="B41" s="301"/>
      <c r="C41" s="301"/>
      <c r="D41" s="301"/>
      <c r="E41" s="301"/>
      <c r="F41" s="302"/>
      <c r="G41" s="301"/>
      <c r="H41" s="301"/>
      <c r="I41" s="301"/>
      <c r="J41" s="301"/>
      <c r="K41" s="301"/>
      <c r="L41" s="301"/>
      <c r="M41" s="301"/>
      <c r="N41" s="301"/>
      <c r="O41" s="303"/>
    </row>
    <row r="42" spans="1:255" s="261" customFormat="1" x14ac:dyDescent="0.3">
      <c r="A42" s="300"/>
      <c r="B42" s="301"/>
      <c r="C42" s="301"/>
      <c r="D42" s="301"/>
      <c r="E42" s="301"/>
      <c r="F42" s="302"/>
      <c r="G42" s="301"/>
      <c r="H42" s="301"/>
      <c r="I42" s="301"/>
      <c r="J42" s="301"/>
      <c r="K42" s="301"/>
      <c r="L42" s="301"/>
      <c r="M42" s="301"/>
      <c r="N42" s="301"/>
      <c r="O42" s="303"/>
      <c r="T42" s="217"/>
      <c r="U42" s="217"/>
      <c r="V42" s="217"/>
      <c r="W42" s="217"/>
      <c r="X42" s="217"/>
      <c r="Y42" s="217"/>
      <c r="Z42" s="217"/>
      <c r="AA42" s="217"/>
      <c r="AB42" s="217"/>
      <c r="AC42" s="217"/>
      <c r="AD42" s="217"/>
      <c r="AE42" s="217"/>
      <c r="AF42" s="217"/>
      <c r="AG42" s="217"/>
      <c r="AH42" s="217"/>
      <c r="AI42" s="217"/>
      <c r="AJ42" s="217"/>
      <c r="AK42" s="217"/>
      <c r="AL42" s="217"/>
      <c r="AM42" s="217"/>
      <c r="AN42" s="217"/>
      <c r="AO42" s="217"/>
      <c r="AP42" s="217"/>
      <c r="AQ42" s="217"/>
      <c r="AR42" s="217"/>
      <c r="AS42" s="217"/>
      <c r="AT42" s="217"/>
      <c r="AU42" s="217"/>
      <c r="AV42" s="217"/>
      <c r="AW42" s="217"/>
      <c r="AX42" s="217"/>
      <c r="AY42" s="217"/>
      <c r="AZ42" s="217"/>
      <c r="BA42" s="217"/>
      <c r="BB42" s="217"/>
      <c r="BC42" s="217"/>
      <c r="BD42" s="217"/>
      <c r="BE42" s="217"/>
      <c r="BF42" s="217"/>
      <c r="BG42" s="217"/>
      <c r="BH42" s="217"/>
      <c r="BI42" s="217"/>
      <c r="BJ42" s="217"/>
      <c r="BK42" s="217"/>
      <c r="BL42" s="217"/>
      <c r="BM42" s="217"/>
      <c r="BN42" s="217"/>
      <c r="BO42" s="217"/>
      <c r="BP42" s="217"/>
      <c r="BQ42" s="217"/>
      <c r="BR42" s="217"/>
      <c r="BS42" s="217"/>
      <c r="BT42" s="217"/>
      <c r="BU42" s="217"/>
      <c r="BV42" s="217"/>
      <c r="BW42" s="217"/>
      <c r="BX42" s="217"/>
      <c r="BY42" s="217"/>
      <c r="BZ42" s="217"/>
      <c r="CA42" s="217"/>
      <c r="CB42" s="217"/>
      <c r="CC42" s="217"/>
      <c r="CD42" s="217"/>
      <c r="CE42" s="217"/>
      <c r="CF42" s="217"/>
      <c r="CG42" s="217"/>
      <c r="CH42" s="217"/>
      <c r="CI42" s="217"/>
      <c r="CJ42" s="217"/>
      <c r="CK42" s="217"/>
      <c r="CL42" s="217"/>
      <c r="CM42" s="217"/>
      <c r="CN42" s="217"/>
      <c r="CO42" s="217"/>
      <c r="CP42" s="217"/>
      <c r="CQ42" s="217"/>
      <c r="CR42" s="217"/>
      <c r="CS42" s="217"/>
      <c r="CT42" s="217"/>
      <c r="CU42" s="217"/>
      <c r="CV42" s="217"/>
      <c r="CW42" s="217"/>
      <c r="CX42" s="217"/>
      <c r="CY42" s="217"/>
      <c r="CZ42" s="217"/>
      <c r="DA42" s="217"/>
      <c r="DB42" s="217"/>
      <c r="DC42" s="217"/>
      <c r="DD42" s="217"/>
      <c r="DE42" s="217"/>
      <c r="DF42" s="217"/>
      <c r="DG42" s="217"/>
      <c r="DH42" s="217"/>
      <c r="DI42" s="217"/>
      <c r="DJ42" s="217"/>
      <c r="DK42" s="217"/>
      <c r="DL42" s="217"/>
      <c r="DM42" s="217"/>
      <c r="DN42" s="217"/>
      <c r="DO42" s="217"/>
      <c r="DP42" s="217"/>
      <c r="DQ42" s="217"/>
      <c r="DR42" s="217"/>
      <c r="DS42" s="217"/>
      <c r="DT42" s="217"/>
      <c r="DU42" s="217"/>
      <c r="DV42" s="217"/>
      <c r="DW42" s="217"/>
      <c r="DX42" s="217"/>
      <c r="DY42" s="217"/>
      <c r="DZ42" s="217"/>
      <c r="EA42" s="217"/>
      <c r="EB42" s="217"/>
      <c r="EC42" s="217"/>
      <c r="ED42" s="217"/>
      <c r="EE42" s="217"/>
      <c r="EF42" s="217"/>
      <c r="EG42" s="217"/>
      <c r="EH42" s="217"/>
      <c r="EI42" s="217"/>
      <c r="EJ42" s="217"/>
      <c r="EK42" s="217"/>
      <c r="EL42" s="217"/>
      <c r="EM42" s="217"/>
      <c r="EN42" s="217"/>
      <c r="EO42" s="217"/>
      <c r="EP42" s="217"/>
      <c r="EQ42" s="217"/>
      <c r="ER42" s="217"/>
      <c r="ES42" s="217"/>
      <c r="ET42" s="217"/>
      <c r="EU42" s="217"/>
      <c r="EV42" s="217"/>
      <c r="EW42" s="217"/>
      <c r="EX42" s="217"/>
      <c r="EY42" s="217"/>
      <c r="EZ42" s="217"/>
      <c r="FA42" s="217"/>
      <c r="FB42" s="217"/>
      <c r="FC42" s="217"/>
      <c r="FD42" s="217"/>
      <c r="FE42" s="217"/>
      <c r="FF42" s="217"/>
      <c r="FG42" s="217"/>
      <c r="FH42" s="217"/>
      <c r="FI42" s="217"/>
      <c r="FJ42" s="217"/>
      <c r="FK42" s="217"/>
      <c r="FL42" s="217"/>
      <c r="FM42" s="217"/>
      <c r="FN42" s="217"/>
      <c r="FO42" s="217"/>
      <c r="FP42" s="217"/>
      <c r="FQ42" s="217"/>
      <c r="FR42" s="217"/>
      <c r="FS42" s="217"/>
      <c r="FT42" s="217"/>
      <c r="FU42" s="217"/>
      <c r="FV42" s="217"/>
      <c r="FW42" s="217"/>
      <c r="FX42" s="217"/>
      <c r="FY42" s="217"/>
      <c r="FZ42" s="217"/>
      <c r="GA42" s="217"/>
      <c r="GB42" s="217"/>
      <c r="GC42" s="217"/>
      <c r="GD42" s="217"/>
      <c r="GE42" s="217"/>
      <c r="GF42" s="217"/>
      <c r="GG42" s="217"/>
      <c r="GH42" s="217"/>
      <c r="GI42" s="217"/>
      <c r="GJ42" s="217"/>
      <c r="GK42" s="217"/>
      <c r="GL42" s="217"/>
      <c r="GM42" s="217"/>
      <c r="GN42" s="217"/>
      <c r="GO42" s="217"/>
      <c r="GP42" s="217"/>
      <c r="GQ42" s="217"/>
      <c r="GR42" s="217"/>
      <c r="GS42" s="217"/>
      <c r="GT42" s="217"/>
      <c r="GU42" s="217"/>
      <c r="GV42" s="217"/>
      <c r="GW42" s="217"/>
      <c r="GX42" s="217"/>
      <c r="GY42" s="217"/>
      <c r="GZ42" s="217"/>
      <c r="HA42" s="217"/>
      <c r="HB42" s="217"/>
      <c r="HC42" s="217"/>
      <c r="HD42" s="217"/>
      <c r="HE42" s="217"/>
      <c r="HF42" s="217"/>
      <c r="HG42" s="217"/>
      <c r="HH42" s="217"/>
      <c r="HI42" s="217"/>
      <c r="HJ42" s="217"/>
      <c r="HK42" s="217"/>
      <c r="HL42" s="217"/>
      <c r="HM42" s="217"/>
      <c r="HN42" s="217"/>
      <c r="HO42" s="217"/>
      <c r="HP42" s="217"/>
      <c r="HQ42" s="217"/>
      <c r="HR42" s="217"/>
      <c r="HS42" s="217"/>
      <c r="HT42" s="217"/>
      <c r="HU42" s="217"/>
      <c r="HV42" s="217"/>
      <c r="HW42" s="217"/>
      <c r="HX42" s="217"/>
      <c r="HY42" s="217"/>
      <c r="HZ42" s="217"/>
      <c r="IA42" s="217"/>
      <c r="IB42" s="217"/>
      <c r="IC42" s="217"/>
      <c r="ID42" s="217"/>
      <c r="IE42" s="217"/>
      <c r="IF42" s="217"/>
      <c r="IG42" s="217"/>
      <c r="IH42" s="217"/>
      <c r="II42" s="217"/>
      <c r="IJ42" s="217"/>
      <c r="IK42" s="217"/>
      <c r="IL42" s="217"/>
      <c r="IM42" s="217"/>
      <c r="IN42" s="217"/>
      <c r="IO42" s="217"/>
      <c r="IP42" s="217"/>
      <c r="IQ42" s="217"/>
      <c r="IR42" s="217"/>
      <c r="IS42" s="217"/>
      <c r="IT42" s="217"/>
      <c r="IU42" s="217"/>
    </row>
    <row r="43" spans="1:255" s="261" customFormat="1" x14ac:dyDescent="0.3">
      <c r="A43" s="300"/>
      <c r="B43" s="301"/>
      <c r="C43" s="301"/>
      <c r="D43" s="301"/>
      <c r="E43" s="301"/>
      <c r="F43" s="302"/>
      <c r="G43" s="301"/>
      <c r="H43" s="301"/>
      <c r="I43" s="301"/>
      <c r="J43" s="301"/>
      <c r="K43" s="301"/>
      <c r="L43" s="301"/>
      <c r="M43" s="301"/>
      <c r="N43" s="301"/>
      <c r="O43" s="303"/>
      <c r="T43" s="217"/>
      <c r="U43" s="217"/>
      <c r="V43" s="217"/>
      <c r="W43" s="217"/>
      <c r="X43" s="217"/>
      <c r="Y43" s="217"/>
      <c r="Z43" s="217"/>
      <c r="AA43" s="217"/>
      <c r="AB43" s="217"/>
      <c r="AC43" s="217"/>
      <c r="AD43" s="217"/>
      <c r="AE43" s="217"/>
      <c r="AF43" s="217"/>
      <c r="AG43" s="217"/>
      <c r="AH43" s="217"/>
      <c r="AI43" s="217"/>
      <c r="AJ43" s="217"/>
      <c r="AK43" s="217"/>
      <c r="AL43" s="217"/>
      <c r="AM43" s="217"/>
      <c r="AN43" s="217"/>
      <c r="AO43" s="217"/>
      <c r="AP43" s="217"/>
      <c r="AQ43" s="217"/>
      <c r="AR43" s="217"/>
      <c r="AS43" s="217"/>
      <c r="AT43" s="217"/>
      <c r="AU43" s="217"/>
      <c r="AV43" s="217"/>
      <c r="AW43" s="217"/>
      <c r="AX43" s="217"/>
      <c r="AY43" s="217"/>
      <c r="AZ43" s="217"/>
      <c r="BA43" s="217"/>
      <c r="BB43" s="217"/>
      <c r="BC43" s="217"/>
      <c r="BD43" s="217"/>
      <c r="BE43" s="217"/>
      <c r="BF43" s="217"/>
      <c r="BG43" s="217"/>
      <c r="BH43" s="217"/>
      <c r="BI43" s="217"/>
      <c r="BJ43" s="217"/>
      <c r="BK43" s="217"/>
      <c r="BL43" s="217"/>
      <c r="BM43" s="217"/>
      <c r="BN43" s="217"/>
      <c r="BO43" s="217"/>
      <c r="BP43" s="217"/>
      <c r="BQ43" s="217"/>
      <c r="BR43" s="217"/>
      <c r="BS43" s="217"/>
      <c r="BT43" s="217"/>
      <c r="BU43" s="217"/>
      <c r="BV43" s="217"/>
      <c r="BW43" s="217"/>
      <c r="BX43" s="217"/>
      <c r="BY43" s="217"/>
      <c r="BZ43" s="217"/>
      <c r="CA43" s="217"/>
      <c r="CB43" s="217"/>
      <c r="CC43" s="217"/>
      <c r="CD43" s="217"/>
      <c r="CE43" s="217"/>
      <c r="CF43" s="217"/>
      <c r="CG43" s="217"/>
      <c r="CH43" s="217"/>
      <c r="CI43" s="217"/>
      <c r="CJ43" s="217"/>
      <c r="CK43" s="217"/>
      <c r="CL43" s="217"/>
      <c r="CM43" s="217"/>
      <c r="CN43" s="217"/>
      <c r="CO43" s="217"/>
      <c r="CP43" s="217"/>
      <c r="CQ43" s="217"/>
      <c r="CR43" s="217"/>
      <c r="CS43" s="217"/>
      <c r="CT43" s="217"/>
      <c r="CU43" s="217"/>
      <c r="CV43" s="217"/>
      <c r="CW43" s="217"/>
      <c r="CX43" s="217"/>
      <c r="CY43" s="217"/>
      <c r="CZ43" s="217"/>
      <c r="DA43" s="217"/>
      <c r="DB43" s="217"/>
      <c r="DC43" s="217"/>
      <c r="DD43" s="217"/>
      <c r="DE43" s="217"/>
      <c r="DF43" s="217"/>
      <c r="DG43" s="217"/>
      <c r="DH43" s="217"/>
      <c r="DI43" s="217"/>
      <c r="DJ43" s="217"/>
      <c r="DK43" s="217"/>
      <c r="DL43" s="217"/>
      <c r="DM43" s="217"/>
      <c r="DN43" s="217"/>
      <c r="DO43" s="217"/>
      <c r="DP43" s="217"/>
      <c r="DQ43" s="217"/>
      <c r="DR43" s="217"/>
      <c r="DS43" s="217"/>
      <c r="DT43" s="217"/>
      <c r="DU43" s="217"/>
      <c r="DV43" s="217"/>
      <c r="DW43" s="217"/>
      <c r="DX43" s="217"/>
      <c r="DY43" s="217"/>
      <c r="DZ43" s="217"/>
      <c r="EA43" s="217"/>
      <c r="EB43" s="217"/>
      <c r="EC43" s="217"/>
      <c r="ED43" s="217"/>
      <c r="EE43" s="217"/>
      <c r="EF43" s="217"/>
      <c r="EG43" s="217"/>
      <c r="EH43" s="217"/>
      <c r="EI43" s="217"/>
      <c r="EJ43" s="217"/>
      <c r="EK43" s="217"/>
      <c r="EL43" s="217"/>
      <c r="EM43" s="217"/>
      <c r="EN43" s="217"/>
      <c r="EO43" s="217"/>
      <c r="EP43" s="217"/>
      <c r="EQ43" s="217"/>
      <c r="ER43" s="217"/>
      <c r="ES43" s="217"/>
      <c r="ET43" s="217"/>
      <c r="EU43" s="217"/>
      <c r="EV43" s="217"/>
      <c r="EW43" s="217"/>
      <c r="EX43" s="217"/>
      <c r="EY43" s="217"/>
      <c r="EZ43" s="217"/>
      <c r="FA43" s="217"/>
      <c r="FB43" s="217"/>
      <c r="FC43" s="217"/>
      <c r="FD43" s="217"/>
      <c r="FE43" s="217"/>
      <c r="FF43" s="217"/>
      <c r="FG43" s="217"/>
      <c r="FH43" s="217"/>
      <c r="FI43" s="217"/>
      <c r="FJ43" s="217"/>
      <c r="FK43" s="217"/>
      <c r="FL43" s="217"/>
      <c r="FM43" s="217"/>
      <c r="FN43" s="217"/>
      <c r="FO43" s="217"/>
      <c r="FP43" s="217"/>
      <c r="FQ43" s="217"/>
      <c r="FR43" s="217"/>
      <c r="FS43" s="217"/>
      <c r="FT43" s="217"/>
      <c r="FU43" s="217"/>
      <c r="FV43" s="217"/>
      <c r="FW43" s="217"/>
      <c r="FX43" s="217"/>
      <c r="FY43" s="217"/>
      <c r="FZ43" s="217"/>
      <c r="GA43" s="217"/>
      <c r="GB43" s="217"/>
      <c r="GC43" s="217"/>
      <c r="GD43" s="217"/>
      <c r="GE43" s="217"/>
      <c r="GF43" s="217"/>
      <c r="GG43" s="217"/>
      <c r="GH43" s="217"/>
      <c r="GI43" s="217"/>
      <c r="GJ43" s="217"/>
      <c r="GK43" s="217"/>
      <c r="GL43" s="217"/>
      <c r="GM43" s="217"/>
      <c r="GN43" s="217"/>
      <c r="GO43" s="217"/>
      <c r="GP43" s="217"/>
      <c r="GQ43" s="217"/>
      <c r="GR43" s="217"/>
      <c r="GS43" s="217"/>
      <c r="GT43" s="217"/>
      <c r="GU43" s="217"/>
      <c r="GV43" s="217"/>
      <c r="GW43" s="217"/>
      <c r="GX43" s="217"/>
      <c r="GY43" s="217"/>
      <c r="GZ43" s="217"/>
      <c r="HA43" s="217"/>
      <c r="HB43" s="217"/>
      <c r="HC43" s="217"/>
      <c r="HD43" s="217"/>
      <c r="HE43" s="217"/>
      <c r="HF43" s="217"/>
      <c r="HG43" s="217"/>
      <c r="HH43" s="217"/>
      <c r="HI43" s="217"/>
      <c r="HJ43" s="217"/>
      <c r="HK43" s="217"/>
      <c r="HL43" s="217"/>
      <c r="HM43" s="217"/>
      <c r="HN43" s="217"/>
      <c r="HO43" s="217"/>
      <c r="HP43" s="217"/>
      <c r="HQ43" s="217"/>
      <c r="HR43" s="217"/>
      <c r="HS43" s="217"/>
      <c r="HT43" s="217"/>
      <c r="HU43" s="217"/>
      <c r="HV43" s="217"/>
      <c r="HW43" s="217"/>
      <c r="HX43" s="217"/>
      <c r="HY43" s="217"/>
      <c r="HZ43" s="217"/>
      <c r="IA43" s="217"/>
      <c r="IB43" s="217"/>
      <c r="IC43" s="217"/>
      <c r="ID43" s="217"/>
      <c r="IE43" s="217"/>
      <c r="IF43" s="217"/>
      <c r="IG43" s="217"/>
      <c r="IH43" s="217"/>
      <c r="II43" s="217"/>
      <c r="IJ43" s="217"/>
      <c r="IK43" s="217"/>
      <c r="IL43" s="217"/>
      <c r="IM43" s="217"/>
      <c r="IN43" s="217"/>
      <c r="IO43" s="217"/>
      <c r="IP43" s="217"/>
      <c r="IQ43" s="217"/>
      <c r="IR43" s="217"/>
      <c r="IS43" s="217"/>
      <c r="IT43" s="217"/>
      <c r="IU43" s="217"/>
    </row>
    <row r="44" spans="1:255" s="261" customFormat="1" x14ac:dyDescent="0.3">
      <c r="B44" s="304"/>
      <c r="C44" s="304"/>
      <c r="D44" s="304"/>
      <c r="E44" s="304"/>
      <c r="F44" s="305"/>
      <c r="G44" s="304"/>
      <c r="H44" s="304"/>
      <c r="I44" s="304"/>
      <c r="J44" s="304"/>
      <c r="K44" s="304"/>
      <c r="L44" s="304"/>
      <c r="M44" s="304"/>
      <c r="N44" s="304"/>
      <c r="O44" s="260"/>
    </row>
    <row r="45" spans="1:255" s="261" customFormat="1" x14ac:dyDescent="0.3">
      <c r="B45" s="306"/>
      <c r="C45" s="306"/>
      <c r="D45" s="306"/>
      <c r="E45" s="306"/>
      <c r="F45" s="307"/>
      <c r="G45" s="306"/>
      <c r="H45" s="306"/>
      <c r="I45" s="306"/>
      <c r="J45" s="306"/>
      <c r="K45" s="306"/>
      <c r="L45" s="306"/>
      <c r="M45" s="306"/>
      <c r="N45" s="306"/>
      <c r="O45" s="260"/>
    </row>
    <row r="46" spans="1:255" s="261" customFormat="1" x14ac:dyDescent="0.3">
      <c r="B46" s="304"/>
      <c r="C46" s="304"/>
      <c r="D46" s="304"/>
      <c r="E46" s="304"/>
      <c r="F46" s="305"/>
      <c r="G46" s="304"/>
      <c r="H46" s="304"/>
      <c r="I46" s="304"/>
      <c r="J46" s="304"/>
      <c r="K46" s="304"/>
      <c r="L46" s="304"/>
      <c r="M46" s="304"/>
      <c r="N46" s="304"/>
      <c r="O46" s="260"/>
    </row>
    <row r="47" spans="1:255" s="261" customFormat="1" x14ac:dyDescent="0.3">
      <c r="F47" s="308"/>
      <c r="O47" s="260"/>
    </row>
    <row r="48" spans="1:255" s="261" customFormat="1" x14ac:dyDescent="0.3">
      <c r="B48" s="309"/>
      <c r="C48" s="309"/>
      <c r="D48" s="309"/>
      <c r="E48" s="309"/>
      <c r="F48" s="310"/>
      <c r="G48" s="309"/>
      <c r="H48" s="309"/>
      <c r="I48" s="309"/>
      <c r="J48" s="309"/>
      <c r="K48" s="309"/>
      <c r="L48" s="309"/>
      <c r="M48" s="309"/>
      <c r="N48" s="309"/>
      <c r="O48" s="260"/>
    </row>
    <row r="49" spans="2:15" s="261" customFormat="1" x14ac:dyDescent="0.3">
      <c r="F49" s="308"/>
      <c r="O49" s="260"/>
    </row>
    <row r="50" spans="2:15" s="261" customFormat="1" x14ac:dyDescent="0.3">
      <c r="B50" s="309"/>
      <c r="C50" s="309"/>
      <c r="D50" s="309"/>
      <c r="E50" s="309"/>
      <c r="F50" s="310"/>
      <c r="G50" s="309"/>
      <c r="H50" s="309"/>
      <c r="I50" s="309"/>
      <c r="J50" s="309"/>
      <c r="K50" s="309"/>
      <c r="L50" s="309"/>
      <c r="M50" s="309"/>
      <c r="N50" s="309"/>
      <c r="O50" s="260"/>
    </row>
    <row r="51" spans="2:15" s="261" customFormat="1" x14ac:dyDescent="0.3">
      <c r="E51" s="311"/>
      <c r="F51" s="312"/>
      <c r="G51" s="259"/>
      <c r="H51" s="259"/>
      <c r="I51" s="259"/>
      <c r="J51" s="259"/>
      <c r="K51" s="259"/>
      <c r="L51" s="259"/>
      <c r="M51" s="259"/>
      <c r="N51" s="313"/>
      <c r="O51" s="260"/>
    </row>
    <row r="52" spans="2:15" s="261" customFormat="1" x14ac:dyDescent="0.3">
      <c r="E52" s="311"/>
      <c r="F52" s="259"/>
      <c r="G52" s="259"/>
      <c r="H52" s="259"/>
      <c r="I52" s="259"/>
      <c r="J52" s="259"/>
      <c r="K52" s="259"/>
      <c r="L52" s="259"/>
      <c r="M52" s="259"/>
      <c r="N52" s="313"/>
      <c r="O52" s="260"/>
    </row>
  </sheetData>
  <autoFilter ref="A5:S39" xr:uid="{00000000-0009-0000-0000-000014000000}"/>
  <mergeCells count="7">
    <mergeCell ref="S2:S4"/>
    <mergeCell ref="A2:A4"/>
    <mergeCell ref="B2:N2"/>
    <mergeCell ref="O2:O4"/>
    <mergeCell ref="P2:P4"/>
    <mergeCell ref="Q2:Q4"/>
    <mergeCell ref="R2:R4"/>
  </mergeCells>
  <pageMargins left="0.18" right="0.15748031496062992" top="0.48" bottom="0.39370078740157483" header="0.31496062992125984" footer="0.31496062992125984"/>
  <pageSetup paperSize="9" scale="65" orientation="portrait" r:id="rId1"/>
  <customProperties>
    <customPr name="EpmWorksheetKeyString_GUID" r:id="rId2"/>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2:P50"/>
  <sheetViews>
    <sheetView topLeftCell="A19" workbookViewId="0">
      <selection activeCell="N31" activeCellId="1" sqref="M34 N31"/>
    </sheetView>
  </sheetViews>
  <sheetFormatPr defaultColWidth="9.1796875" defaultRowHeight="14.5" x14ac:dyDescent="0.35"/>
  <cols>
    <col min="1" max="1" width="37.81640625" style="53" customWidth="1"/>
    <col min="2" max="8" width="6.26953125" style="53" customWidth="1"/>
    <col min="9" max="9" width="49.453125" style="524" customWidth="1"/>
    <col min="10" max="10" width="5.453125" style="53" bestFit="1" customWidth="1"/>
    <col min="11" max="11" width="7.54296875" style="53" bestFit="1" customWidth="1"/>
    <col min="12" max="12" width="6.26953125" style="53" bestFit="1" customWidth="1"/>
    <col min="13" max="13" width="13.54296875" style="53" customWidth="1"/>
    <col min="14" max="16384" width="9.1796875" style="53"/>
  </cols>
  <sheetData>
    <row r="2" spans="1:13" ht="15.5" x14ac:dyDescent="0.35">
      <c r="A2" s="1589"/>
      <c r="B2" s="1589"/>
      <c r="C2" s="1589"/>
      <c r="D2" s="1589"/>
      <c r="E2" s="1589"/>
      <c r="F2" s="1589"/>
      <c r="G2" s="1589"/>
      <c r="H2" s="1589"/>
      <c r="I2" s="1589"/>
      <c r="J2" s="1589"/>
      <c r="K2" s="1589"/>
      <c r="L2" s="1589"/>
      <c r="M2" s="1589"/>
    </row>
    <row r="3" spans="1:13" ht="51.75" customHeight="1" x14ac:dyDescent="0.35">
      <c r="A3" s="1603" t="s">
        <v>108</v>
      </c>
      <c r="B3" s="1608" t="s">
        <v>519</v>
      </c>
      <c r="C3" s="1608"/>
      <c r="D3" s="1608"/>
      <c r="E3" s="1608"/>
      <c r="F3" s="1608"/>
      <c r="G3" s="1608"/>
      <c r="H3" s="1608"/>
      <c r="I3" s="519" t="s">
        <v>516</v>
      </c>
      <c r="J3" s="1605" t="s">
        <v>348</v>
      </c>
      <c r="K3" s="1606"/>
      <c r="L3" s="1558" t="s">
        <v>349</v>
      </c>
      <c r="M3" s="1558" t="s">
        <v>388</v>
      </c>
    </row>
    <row r="4" spans="1:13" ht="23" x14ac:dyDescent="0.35">
      <c r="A4" s="1604"/>
      <c r="B4" s="509">
        <v>2014</v>
      </c>
      <c r="C4" s="509">
        <v>2015</v>
      </c>
      <c r="D4" s="509">
        <v>2016</v>
      </c>
      <c r="E4" s="509">
        <v>2017</v>
      </c>
      <c r="F4" s="509">
        <v>2018</v>
      </c>
      <c r="G4" s="509">
        <v>2019</v>
      </c>
      <c r="H4" s="509">
        <v>2020</v>
      </c>
      <c r="I4" s="521"/>
      <c r="J4" s="510" t="s">
        <v>350</v>
      </c>
      <c r="K4" s="510" t="s">
        <v>351</v>
      </c>
      <c r="L4" s="1607"/>
      <c r="M4" s="1607"/>
    </row>
    <row r="5" spans="1:13" x14ac:dyDescent="0.35">
      <c r="A5" s="320" t="s">
        <v>55</v>
      </c>
      <c r="B5" s="321"/>
      <c r="C5" s="321"/>
      <c r="D5" s="321"/>
      <c r="E5" s="321"/>
      <c r="F5" s="321"/>
      <c r="G5" s="321"/>
      <c r="H5" s="321"/>
      <c r="I5" s="520"/>
      <c r="J5" s="322"/>
      <c r="K5" s="322"/>
      <c r="L5" s="322"/>
      <c r="M5" s="322"/>
    </row>
    <row r="6" spans="1:13" x14ac:dyDescent="0.35">
      <c r="A6" s="320" t="s">
        <v>31</v>
      </c>
      <c r="B6" s="321"/>
      <c r="C6" s="321"/>
      <c r="D6" s="321"/>
      <c r="E6" s="321"/>
      <c r="F6" s="321"/>
      <c r="G6" s="321"/>
      <c r="H6" s="321"/>
      <c r="I6" s="520"/>
      <c r="J6" s="322"/>
      <c r="K6" s="322"/>
      <c r="L6" s="322"/>
      <c r="M6" s="322"/>
    </row>
    <row r="7" spans="1:13" x14ac:dyDescent="0.35">
      <c r="A7" s="515" t="s">
        <v>110</v>
      </c>
      <c r="B7" s="323" t="s">
        <v>352</v>
      </c>
      <c r="C7" s="323" t="s">
        <v>352</v>
      </c>
      <c r="D7" s="323"/>
      <c r="E7" s="323"/>
      <c r="F7" s="323"/>
      <c r="G7" s="323"/>
      <c r="H7" s="323"/>
      <c r="I7" s="151"/>
      <c r="J7" s="323">
        <v>30.9</v>
      </c>
      <c r="K7" s="323">
        <v>37.700000000000003</v>
      </c>
      <c r="L7" s="323">
        <v>6.8000000000000043</v>
      </c>
      <c r="M7" s="323">
        <v>10067</v>
      </c>
    </row>
    <row r="8" spans="1:13" x14ac:dyDescent="0.35">
      <c r="A8" s="515" t="s">
        <v>111</v>
      </c>
      <c r="B8" s="511"/>
      <c r="C8" s="323" t="s">
        <v>352</v>
      </c>
      <c r="D8" s="323"/>
      <c r="E8" s="323"/>
      <c r="F8" s="323"/>
      <c r="G8" s="323"/>
      <c r="H8" s="323"/>
      <c r="I8" s="151"/>
      <c r="J8" s="323">
        <v>50.3</v>
      </c>
      <c r="K8" s="323">
        <v>56.3</v>
      </c>
      <c r="L8" s="323">
        <v>6</v>
      </c>
      <c r="M8" s="323">
        <v>6733</v>
      </c>
    </row>
    <row r="9" spans="1:13" x14ac:dyDescent="0.35">
      <c r="A9" s="515" t="s">
        <v>353</v>
      </c>
      <c r="B9" s="323" t="s">
        <v>352</v>
      </c>
      <c r="C9" s="323"/>
      <c r="D9" s="323"/>
      <c r="E9" s="323"/>
      <c r="F9" s="323"/>
      <c r="G9" s="323"/>
      <c r="H9" s="323"/>
      <c r="I9" s="151"/>
      <c r="J9" s="323">
        <v>61.8</v>
      </c>
      <c r="K9" s="323">
        <v>65</v>
      </c>
      <c r="L9" s="323">
        <v>3.2000000000000028</v>
      </c>
      <c r="M9" s="323">
        <v>6733</v>
      </c>
    </row>
    <row r="10" spans="1:13" x14ac:dyDescent="0.35">
      <c r="A10" s="320" t="s">
        <v>515</v>
      </c>
      <c r="B10" s="321"/>
      <c r="C10" s="321"/>
      <c r="D10" s="321"/>
      <c r="E10" s="321"/>
      <c r="F10" s="321"/>
      <c r="G10" s="321"/>
      <c r="H10" s="321"/>
      <c r="I10" s="520"/>
      <c r="J10" s="322"/>
      <c r="K10" s="322"/>
      <c r="L10" s="322"/>
      <c r="M10" s="322"/>
    </row>
    <row r="11" spans="1:13" s="150" customFormat="1" ht="13" x14ac:dyDescent="0.3">
      <c r="A11" s="516" t="s">
        <v>56</v>
      </c>
      <c r="B11" s="512" t="s">
        <v>352</v>
      </c>
      <c r="C11" s="512"/>
      <c r="D11" s="512"/>
      <c r="E11" s="512"/>
      <c r="F11" s="512"/>
      <c r="G11" s="512"/>
      <c r="H11" s="512"/>
      <c r="I11" s="151" t="s">
        <v>407</v>
      </c>
      <c r="J11" s="512"/>
      <c r="K11" s="512"/>
      <c r="L11" s="512"/>
      <c r="M11" s="512">
        <v>6700</v>
      </c>
    </row>
    <row r="12" spans="1:13" s="95" customFormat="1" ht="24" x14ac:dyDescent="0.3">
      <c r="A12" s="516" t="s">
        <v>58</v>
      </c>
      <c r="B12" s="512" t="s">
        <v>352</v>
      </c>
      <c r="C12" s="512" t="s">
        <v>352</v>
      </c>
      <c r="D12" s="512"/>
      <c r="E12" s="512"/>
      <c r="F12" s="512"/>
      <c r="G12" s="512"/>
      <c r="H12" s="512"/>
      <c r="I12" s="151" t="s">
        <v>363</v>
      </c>
      <c r="J12" s="512">
        <v>10.4</v>
      </c>
      <c r="K12" s="512">
        <v>0</v>
      </c>
      <c r="L12" s="512">
        <v>0</v>
      </c>
      <c r="M12" s="512">
        <v>27600</v>
      </c>
    </row>
    <row r="13" spans="1:13" s="156" customFormat="1" ht="26" x14ac:dyDescent="0.3">
      <c r="A13" s="516" t="s">
        <v>60</v>
      </c>
      <c r="B13" s="512"/>
      <c r="C13" s="512"/>
      <c r="D13" s="512"/>
      <c r="E13" s="512" t="s">
        <v>352</v>
      </c>
      <c r="F13" s="512" t="s">
        <v>352</v>
      </c>
      <c r="G13" s="512"/>
      <c r="H13" s="512"/>
      <c r="I13" s="151" t="s">
        <v>364</v>
      </c>
      <c r="J13" s="512">
        <v>9</v>
      </c>
      <c r="K13" s="512">
        <v>10.199999999999999</v>
      </c>
      <c r="L13" s="512">
        <v>1.2</v>
      </c>
      <c r="M13" s="512" t="s">
        <v>397</v>
      </c>
    </row>
    <row r="14" spans="1:13" s="156" customFormat="1" ht="36" x14ac:dyDescent="0.3">
      <c r="A14" s="516" t="s">
        <v>62</v>
      </c>
      <c r="B14" s="512"/>
      <c r="C14" s="512"/>
      <c r="D14" s="512" t="s">
        <v>352</v>
      </c>
      <c r="E14" s="512" t="s">
        <v>352</v>
      </c>
      <c r="F14" s="512"/>
      <c r="G14" s="512"/>
      <c r="H14" s="512"/>
      <c r="I14" s="151" t="s">
        <v>405</v>
      </c>
      <c r="J14" s="512">
        <v>183</v>
      </c>
      <c r="K14" s="512">
        <v>184.5</v>
      </c>
      <c r="L14" s="512">
        <v>1.5</v>
      </c>
      <c r="M14" s="512">
        <v>6700</v>
      </c>
    </row>
    <row r="15" spans="1:13" x14ac:dyDescent="0.35">
      <c r="A15" s="320" t="s">
        <v>64</v>
      </c>
      <c r="B15" s="324"/>
      <c r="C15" s="324"/>
      <c r="D15" s="324"/>
      <c r="E15" s="324"/>
      <c r="F15" s="324"/>
      <c r="G15" s="324"/>
      <c r="H15" s="324"/>
      <c r="I15" s="331"/>
      <c r="J15" s="325"/>
      <c r="K15" s="325"/>
      <c r="L15" s="325"/>
      <c r="M15" s="325"/>
    </row>
    <row r="16" spans="1:13" x14ac:dyDescent="0.35">
      <c r="A16" s="517" t="s">
        <v>128</v>
      </c>
      <c r="B16" s="327"/>
      <c r="C16" s="327" t="s">
        <v>352</v>
      </c>
      <c r="D16" s="327" t="s">
        <v>352</v>
      </c>
      <c r="E16" s="327"/>
      <c r="F16" s="327"/>
      <c r="G16" s="327"/>
      <c r="H16" s="327"/>
      <c r="I16" s="522"/>
      <c r="J16" s="327">
        <v>5.5</v>
      </c>
      <c r="K16" s="327">
        <v>12.6</v>
      </c>
      <c r="L16" s="327">
        <v>7.1</v>
      </c>
      <c r="M16" s="327" t="s">
        <v>396</v>
      </c>
    </row>
    <row r="17" spans="1:13" x14ac:dyDescent="0.35">
      <c r="A17" s="517" t="s">
        <v>354</v>
      </c>
      <c r="B17" s="327"/>
      <c r="C17" s="327"/>
      <c r="D17" s="327"/>
      <c r="E17" s="327"/>
      <c r="F17" s="327"/>
      <c r="G17" s="327" t="s">
        <v>352</v>
      </c>
      <c r="H17" s="327"/>
      <c r="I17" s="522"/>
      <c r="J17" s="327">
        <f>'[4]ÜF REK'!H9</f>
        <v>12.6</v>
      </c>
      <c r="K17" s="327">
        <f>'[4]ÜF REK'!I9</f>
        <v>20</v>
      </c>
      <c r="L17" s="327">
        <f>'[4]ÜF REK'!J9</f>
        <v>7.4</v>
      </c>
      <c r="M17" s="327">
        <v>12234</v>
      </c>
    </row>
    <row r="18" spans="1:13" x14ac:dyDescent="0.35">
      <c r="A18" s="320" t="s">
        <v>515</v>
      </c>
      <c r="B18" s="321"/>
      <c r="C18" s="321"/>
      <c r="D18" s="321"/>
      <c r="E18" s="321"/>
      <c r="F18" s="321"/>
      <c r="G18" s="321"/>
      <c r="H18" s="321"/>
      <c r="I18" s="520"/>
      <c r="J18" s="322"/>
      <c r="K18" s="322"/>
      <c r="L18" s="322"/>
      <c r="M18" s="322"/>
    </row>
    <row r="19" spans="1:13" s="95" customFormat="1" ht="13" x14ac:dyDescent="0.3">
      <c r="A19" s="516" t="s">
        <v>65</v>
      </c>
      <c r="B19" s="512" t="s">
        <v>352</v>
      </c>
      <c r="C19" s="512"/>
      <c r="D19" s="512"/>
      <c r="E19" s="512"/>
      <c r="F19" s="512"/>
      <c r="G19" s="512"/>
      <c r="H19" s="512"/>
      <c r="I19" s="151" t="s">
        <v>365</v>
      </c>
      <c r="J19" s="512"/>
      <c r="K19" s="512"/>
      <c r="L19" s="512"/>
      <c r="M19" s="512"/>
    </row>
    <row r="20" spans="1:13" s="95" customFormat="1" ht="24" x14ac:dyDescent="0.3">
      <c r="A20" s="518" t="s">
        <v>366</v>
      </c>
      <c r="B20" s="512"/>
      <c r="C20" s="512"/>
      <c r="D20" s="512"/>
      <c r="E20" s="512"/>
      <c r="F20" s="512" t="s">
        <v>352</v>
      </c>
      <c r="G20" s="512" t="s">
        <v>352</v>
      </c>
      <c r="H20" s="512" t="s">
        <v>352</v>
      </c>
      <c r="I20" s="151" t="s">
        <v>67</v>
      </c>
      <c r="J20" s="512">
        <v>40</v>
      </c>
      <c r="K20" s="512">
        <v>85</v>
      </c>
      <c r="L20" s="512">
        <v>45</v>
      </c>
      <c r="M20" s="512">
        <v>7700</v>
      </c>
    </row>
    <row r="21" spans="1:13" s="95" customFormat="1" ht="36" x14ac:dyDescent="0.3">
      <c r="A21" s="516" t="s">
        <v>69</v>
      </c>
      <c r="B21" s="512" t="s">
        <v>352</v>
      </c>
      <c r="C21" s="512" t="s">
        <v>352</v>
      </c>
      <c r="D21" s="512"/>
      <c r="E21" s="512"/>
      <c r="F21" s="512"/>
      <c r="G21" s="512"/>
      <c r="H21" s="512"/>
      <c r="I21" s="151" t="s">
        <v>408</v>
      </c>
      <c r="J21" s="512">
        <v>188.5</v>
      </c>
      <c r="K21" s="512">
        <v>191.6</v>
      </c>
      <c r="L21" s="512">
        <v>3.1</v>
      </c>
      <c r="M21" s="512">
        <v>12000</v>
      </c>
    </row>
    <row r="22" spans="1:13" s="156" customFormat="1" ht="24" x14ac:dyDescent="0.3">
      <c r="A22" s="516" t="s">
        <v>70</v>
      </c>
      <c r="B22" s="512" t="s">
        <v>352</v>
      </c>
      <c r="C22" s="512" t="s">
        <v>352</v>
      </c>
      <c r="D22" s="512"/>
      <c r="E22" s="512"/>
      <c r="F22" s="512"/>
      <c r="G22" s="512"/>
      <c r="H22" s="512"/>
      <c r="I22" s="151" t="s">
        <v>71</v>
      </c>
      <c r="J22" s="512">
        <v>181.9</v>
      </c>
      <c r="K22" s="512">
        <v>184.1</v>
      </c>
      <c r="L22" s="512">
        <v>2.1999999999999886</v>
      </c>
      <c r="M22" s="512">
        <v>12000</v>
      </c>
    </row>
    <row r="23" spans="1:13" s="156" customFormat="1" ht="24" x14ac:dyDescent="0.3">
      <c r="A23" s="516" t="s">
        <v>517</v>
      </c>
      <c r="B23" s="512"/>
      <c r="C23" s="512"/>
      <c r="D23" s="512"/>
      <c r="E23" s="512"/>
      <c r="F23" s="512"/>
      <c r="G23" s="512"/>
      <c r="H23" s="512" t="s">
        <v>352</v>
      </c>
      <c r="I23" s="151" t="s">
        <v>401</v>
      </c>
      <c r="J23" s="512">
        <v>184.1</v>
      </c>
      <c r="K23" s="512">
        <v>185.9</v>
      </c>
      <c r="L23" s="512">
        <v>1.8000000000000114</v>
      </c>
      <c r="M23" s="512">
        <v>12200</v>
      </c>
    </row>
    <row r="24" spans="1:13" s="95" customFormat="1" ht="13" x14ac:dyDescent="0.3">
      <c r="A24" s="516" t="s">
        <v>74</v>
      </c>
      <c r="B24" s="512"/>
      <c r="C24" s="512"/>
      <c r="D24" s="512"/>
      <c r="E24" s="512" t="s">
        <v>352</v>
      </c>
      <c r="F24" s="512" t="s">
        <v>352</v>
      </c>
      <c r="G24" s="512"/>
      <c r="H24" s="512"/>
      <c r="I24" s="151" t="s">
        <v>518</v>
      </c>
      <c r="J24" s="512">
        <v>128</v>
      </c>
      <c r="K24" s="512">
        <v>181.5</v>
      </c>
      <c r="L24" s="512">
        <v>53.5</v>
      </c>
      <c r="M24" s="512">
        <v>6500</v>
      </c>
    </row>
    <row r="25" spans="1:13" s="95" customFormat="1" ht="13" x14ac:dyDescent="0.3">
      <c r="A25" s="513" t="s">
        <v>77</v>
      </c>
      <c r="B25" s="514"/>
      <c r="C25" s="514"/>
      <c r="D25" s="514"/>
      <c r="E25" s="514"/>
      <c r="F25" s="514"/>
      <c r="G25" s="514"/>
      <c r="H25" s="514"/>
      <c r="I25" s="523"/>
      <c r="J25" s="514"/>
      <c r="K25" s="514"/>
      <c r="L25" s="514"/>
      <c r="M25" s="514"/>
    </row>
    <row r="26" spans="1:13" x14ac:dyDescent="0.35">
      <c r="A26" s="320" t="s">
        <v>515</v>
      </c>
      <c r="B26" s="321"/>
      <c r="C26" s="321"/>
      <c r="D26" s="321"/>
      <c r="E26" s="321"/>
      <c r="F26" s="321"/>
      <c r="G26" s="321"/>
      <c r="H26" s="321"/>
      <c r="I26" s="520"/>
      <c r="J26" s="322"/>
      <c r="K26" s="322"/>
      <c r="L26" s="322"/>
      <c r="M26" s="322"/>
    </row>
    <row r="27" spans="1:13" s="95" customFormat="1" ht="36" x14ac:dyDescent="0.3">
      <c r="A27" s="516" t="s">
        <v>78</v>
      </c>
      <c r="B27" s="512" t="s">
        <v>352</v>
      </c>
      <c r="C27" s="512"/>
      <c r="D27" s="512" t="s">
        <v>352</v>
      </c>
      <c r="E27" s="512"/>
      <c r="F27" s="512"/>
      <c r="G27" s="512"/>
      <c r="H27" s="512"/>
      <c r="I27" s="151" t="s">
        <v>398</v>
      </c>
      <c r="J27" s="512">
        <v>14.7</v>
      </c>
      <c r="K27" s="512">
        <v>0</v>
      </c>
      <c r="L27" s="512">
        <v>0</v>
      </c>
      <c r="M27" s="512" t="s">
        <v>399</v>
      </c>
    </row>
    <row r="28" spans="1:13" s="95" customFormat="1" ht="13" x14ac:dyDescent="0.3">
      <c r="A28" s="516" t="s">
        <v>80</v>
      </c>
      <c r="B28" s="512"/>
      <c r="C28" s="512"/>
      <c r="D28" s="512" t="s">
        <v>352</v>
      </c>
      <c r="E28" s="512" t="s">
        <v>352</v>
      </c>
      <c r="F28" s="512"/>
      <c r="G28" s="512"/>
      <c r="H28" s="512"/>
      <c r="I28" s="151" t="s">
        <v>367</v>
      </c>
      <c r="J28" s="512">
        <v>13</v>
      </c>
      <c r="K28" s="512">
        <v>16</v>
      </c>
      <c r="L28" s="512">
        <v>3</v>
      </c>
      <c r="M28" s="512" t="s">
        <v>131</v>
      </c>
    </row>
    <row r="29" spans="1:13" s="156" customFormat="1" ht="13" x14ac:dyDescent="0.3">
      <c r="A29" s="516" t="s">
        <v>81</v>
      </c>
      <c r="B29" s="512"/>
      <c r="C29" s="512"/>
      <c r="D29" s="512" t="s">
        <v>352</v>
      </c>
      <c r="E29" s="512" t="s">
        <v>352</v>
      </c>
      <c r="F29" s="512"/>
      <c r="G29" s="512"/>
      <c r="H29" s="512"/>
      <c r="I29" s="151" t="s">
        <v>82</v>
      </c>
      <c r="J29" s="512">
        <v>28</v>
      </c>
      <c r="K29" s="512">
        <v>37</v>
      </c>
      <c r="L29" s="512">
        <v>9</v>
      </c>
      <c r="M29" s="512">
        <v>8000</v>
      </c>
    </row>
    <row r="30" spans="1:13" s="95" customFormat="1" ht="13" x14ac:dyDescent="0.3">
      <c r="A30" s="516" t="s">
        <v>83</v>
      </c>
      <c r="B30" s="512"/>
      <c r="C30" s="512"/>
      <c r="D30" s="512"/>
      <c r="E30" s="512"/>
      <c r="F30" s="512" t="s">
        <v>352</v>
      </c>
      <c r="G30" s="512" t="s">
        <v>352</v>
      </c>
      <c r="H30" s="512"/>
      <c r="I30" s="151" t="s">
        <v>84</v>
      </c>
      <c r="J30" s="512">
        <v>37</v>
      </c>
      <c r="K30" s="512">
        <v>42</v>
      </c>
      <c r="L30" s="512">
        <v>5</v>
      </c>
      <c r="M30" s="512">
        <v>7000</v>
      </c>
    </row>
    <row r="31" spans="1:13" s="95" customFormat="1" ht="13" x14ac:dyDescent="0.3">
      <c r="A31" s="516" t="s">
        <v>85</v>
      </c>
      <c r="B31" s="512"/>
      <c r="C31" s="512"/>
      <c r="D31" s="512" t="s">
        <v>352</v>
      </c>
      <c r="E31" s="512" t="s">
        <v>352</v>
      </c>
      <c r="F31" s="512"/>
      <c r="G31" s="512"/>
      <c r="H31" s="512"/>
      <c r="I31" s="151" t="s">
        <v>86</v>
      </c>
      <c r="J31" s="512">
        <v>120.3</v>
      </c>
      <c r="K31" s="512">
        <v>124.1</v>
      </c>
      <c r="L31" s="512">
        <v>3.8</v>
      </c>
      <c r="M31" s="512">
        <v>11300</v>
      </c>
    </row>
    <row r="32" spans="1:13" x14ac:dyDescent="0.35">
      <c r="A32" s="344"/>
      <c r="B32" s="344"/>
      <c r="C32" s="344"/>
      <c r="D32" s="344"/>
      <c r="E32" s="344"/>
      <c r="F32" s="344"/>
      <c r="G32" s="344"/>
      <c r="H32" s="344"/>
      <c r="I32" s="525"/>
    </row>
    <row r="33" spans="1:16" ht="45.75" customHeight="1" x14ac:dyDescent="0.35">
      <c r="A33" s="1603" t="s">
        <v>108</v>
      </c>
      <c r="B33" s="1564" t="s">
        <v>515</v>
      </c>
      <c r="C33" s="1565"/>
      <c r="D33" s="1565"/>
      <c r="E33" s="1565"/>
      <c r="F33" s="1565"/>
      <c r="G33" s="1565"/>
      <c r="H33" s="1565"/>
      <c r="I33" s="519" t="s">
        <v>516</v>
      </c>
      <c r="J33" s="1605" t="s">
        <v>348</v>
      </c>
      <c r="K33" s="1606"/>
      <c r="L33" s="1558" t="s">
        <v>349</v>
      </c>
      <c r="M33" s="1558" t="s">
        <v>388</v>
      </c>
    </row>
    <row r="34" spans="1:16" ht="27" customHeight="1" x14ac:dyDescent="0.35">
      <c r="A34" s="1604"/>
      <c r="B34" s="509">
        <v>2021</v>
      </c>
      <c r="C34" s="509">
        <v>2022</v>
      </c>
      <c r="D34" s="509">
        <v>2023</v>
      </c>
      <c r="E34" s="509">
        <v>2024</v>
      </c>
      <c r="F34" s="509">
        <v>2025</v>
      </c>
      <c r="G34" s="509">
        <v>2026</v>
      </c>
      <c r="H34" s="509">
        <v>2027</v>
      </c>
      <c r="I34" s="521"/>
      <c r="J34" s="510" t="s">
        <v>350</v>
      </c>
      <c r="K34" s="510" t="s">
        <v>351</v>
      </c>
      <c r="L34" s="1607"/>
      <c r="M34" s="1607"/>
    </row>
    <row r="35" spans="1:16" s="263" customFormat="1" ht="13" x14ac:dyDescent="0.3">
      <c r="A35" s="403" t="s">
        <v>55</v>
      </c>
      <c r="B35" s="401"/>
      <c r="C35" s="401"/>
      <c r="D35" s="401"/>
      <c r="E35" s="401"/>
      <c r="F35" s="401"/>
      <c r="G35" s="401"/>
      <c r="H35" s="401"/>
      <c r="I35" s="526"/>
      <c r="J35" s="405"/>
      <c r="K35" s="405"/>
      <c r="L35" s="405"/>
      <c r="M35" s="405"/>
    </row>
    <row r="36" spans="1:16" s="274" customFormat="1" ht="24" x14ac:dyDescent="0.3">
      <c r="A36" s="269" t="s">
        <v>283</v>
      </c>
      <c r="B36" s="58" t="s">
        <v>352</v>
      </c>
      <c r="C36" s="58" t="s">
        <v>352</v>
      </c>
      <c r="D36" s="58" t="s">
        <v>352</v>
      </c>
      <c r="E36" s="58"/>
      <c r="F36" s="180"/>
      <c r="G36" s="180"/>
      <c r="H36" s="180"/>
      <c r="I36" s="62" t="s">
        <v>284</v>
      </c>
      <c r="J36" s="271">
        <v>17.5</v>
      </c>
      <c r="K36" s="271">
        <v>26</v>
      </c>
      <c r="L36" s="271">
        <v>8.5</v>
      </c>
      <c r="M36" s="272">
        <v>16500</v>
      </c>
      <c r="N36" s="273"/>
      <c r="P36" s="275"/>
    </row>
    <row r="37" spans="1:16" s="274" customFormat="1" ht="48" x14ac:dyDescent="0.3">
      <c r="A37" s="269" t="s">
        <v>331</v>
      </c>
      <c r="B37" s="58"/>
      <c r="C37" s="70"/>
      <c r="D37" s="58" t="s">
        <v>352</v>
      </c>
      <c r="E37" s="58" t="s">
        <v>352</v>
      </c>
      <c r="F37" s="180"/>
      <c r="G37" s="180"/>
      <c r="H37" s="180"/>
      <c r="I37" s="62" t="s">
        <v>447</v>
      </c>
      <c r="J37" s="271">
        <v>26</v>
      </c>
      <c r="K37" s="271">
        <v>65</v>
      </c>
      <c r="L37" s="271">
        <v>39</v>
      </c>
      <c r="M37" s="272" t="s">
        <v>285</v>
      </c>
      <c r="N37" s="273"/>
      <c r="P37" s="275"/>
    </row>
    <row r="38" spans="1:16" s="274" customFormat="1" ht="48" x14ac:dyDescent="0.3">
      <c r="A38" s="269" t="s">
        <v>332</v>
      </c>
      <c r="B38" s="58" t="s">
        <v>352</v>
      </c>
      <c r="C38" s="70" t="s">
        <v>352</v>
      </c>
      <c r="D38" s="58"/>
      <c r="E38" s="58"/>
      <c r="F38" s="180"/>
      <c r="G38" s="180"/>
      <c r="H38" s="180"/>
      <c r="I38" s="62" t="s">
        <v>411</v>
      </c>
      <c r="J38" s="271">
        <v>78</v>
      </c>
      <c r="K38" s="271">
        <v>88</v>
      </c>
      <c r="L38" s="271">
        <v>10</v>
      </c>
      <c r="M38" s="272">
        <v>5800</v>
      </c>
      <c r="N38" s="273"/>
      <c r="P38" s="275"/>
    </row>
    <row r="39" spans="1:16" s="274" customFormat="1" ht="36" x14ac:dyDescent="0.3">
      <c r="A39" s="269" t="s">
        <v>333</v>
      </c>
      <c r="B39" s="58"/>
      <c r="C39" s="70"/>
      <c r="D39" s="58" t="s">
        <v>352</v>
      </c>
      <c r="E39" s="58" t="s">
        <v>352</v>
      </c>
      <c r="F39" s="180" t="s">
        <v>352</v>
      </c>
      <c r="G39" s="180" t="s">
        <v>352</v>
      </c>
      <c r="H39" s="180" t="s">
        <v>352</v>
      </c>
      <c r="I39" s="62" t="s">
        <v>406</v>
      </c>
      <c r="J39" s="271">
        <v>88</v>
      </c>
      <c r="K39" s="271">
        <v>208</v>
      </c>
      <c r="L39" s="271">
        <v>120</v>
      </c>
      <c r="M39" s="272" t="s">
        <v>288</v>
      </c>
      <c r="N39" s="275"/>
      <c r="P39" s="275"/>
    </row>
    <row r="40" spans="1:16" s="261" customFormat="1" ht="26" x14ac:dyDescent="0.3">
      <c r="A40" s="406" t="s">
        <v>64</v>
      </c>
      <c r="B40" s="324"/>
      <c r="C40" s="324"/>
      <c r="D40" s="324"/>
      <c r="E40" s="324"/>
      <c r="F40" s="324"/>
      <c r="G40" s="324"/>
      <c r="H40" s="324"/>
      <c r="I40" s="331"/>
      <c r="J40" s="402"/>
      <c r="K40" s="402"/>
      <c r="L40" s="402"/>
      <c r="M40" s="402"/>
    </row>
    <row r="41" spans="1:16" s="534" customFormat="1" ht="36" x14ac:dyDescent="0.3">
      <c r="A41" s="528" t="s">
        <v>410</v>
      </c>
      <c r="B41" s="529" t="s">
        <v>352</v>
      </c>
      <c r="C41" s="529" t="s">
        <v>352</v>
      </c>
      <c r="D41" s="530"/>
      <c r="E41" s="529"/>
      <c r="F41" s="529"/>
      <c r="G41" s="529"/>
      <c r="H41" s="529"/>
      <c r="I41" s="531" t="s">
        <v>289</v>
      </c>
      <c r="J41" s="532">
        <v>40</v>
      </c>
      <c r="K41" s="532">
        <v>85</v>
      </c>
      <c r="L41" s="532">
        <f>K41-J41</f>
        <v>45</v>
      </c>
      <c r="M41" s="529">
        <v>7700</v>
      </c>
      <c r="N41" s="533" t="s">
        <v>290</v>
      </c>
    </row>
    <row r="42" spans="1:16" s="281" customFormat="1" ht="13" x14ac:dyDescent="0.3">
      <c r="A42" s="269" t="s">
        <v>291</v>
      </c>
      <c r="B42" s="70"/>
      <c r="C42" s="282"/>
      <c r="D42" s="58"/>
      <c r="E42" s="58"/>
      <c r="F42" s="58"/>
      <c r="G42" s="58" t="s">
        <v>352</v>
      </c>
      <c r="H42" s="58" t="s">
        <v>352</v>
      </c>
      <c r="I42" s="62" t="s">
        <v>299</v>
      </c>
      <c r="J42" s="57">
        <v>92</v>
      </c>
      <c r="K42" s="57">
        <v>102</v>
      </c>
      <c r="L42" s="57">
        <v>10</v>
      </c>
      <c r="M42" s="58">
        <v>7300</v>
      </c>
      <c r="N42" s="283"/>
    </row>
    <row r="43" spans="1:16" s="281" customFormat="1" ht="13" x14ac:dyDescent="0.3">
      <c r="A43" s="269" t="s">
        <v>293</v>
      </c>
      <c r="B43" s="70"/>
      <c r="C43" s="282"/>
      <c r="D43" s="58" t="s">
        <v>352</v>
      </c>
      <c r="E43" s="58" t="s">
        <v>352</v>
      </c>
      <c r="F43" s="58" t="s">
        <v>352</v>
      </c>
      <c r="G43" s="58"/>
      <c r="H43" s="58"/>
      <c r="I43" s="62" t="s">
        <v>294</v>
      </c>
      <c r="J43" s="57">
        <v>102</v>
      </c>
      <c r="K43" s="57">
        <v>178</v>
      </c>
      <c r="L43" s="57">
        <f>K43-J43</f>
        <v>76</v>
      </c>
      <c r="M43" s="58" t="s">
        <v>295</v>
      </c>
    </row>
    <row r="44" spans="1:16" s="281" customFormat="1" ht="13" x14ac:dyDescent="0.3">
      <c r="A44" s="269" t="s">
        <v>300</v>
      </c>
      <c r="B44" s="70"/>
      <c r="C44" s="285"/>
      <c r="D44" s="58"/>
      <c r="E44" s="58"/>
      <c r="F44" s="58"/>
      <c r="G44" s="58" t="s">
        <v>352</v>
      </c>
      <c r="H44" s="58" t="s">
        <v>352</v>
      </c>
      <c r="I44" s="62" t="s">
        <v>301</v>
      </c>
      <c r="J44" s="57">
        <v>126</v>
      </c>
      <c r="K44" s="57">
        <v>132</v>
      </c>
      <c r="L44" s="57">
        <v>8</v>
      </c>
      <c r="M44" s="58">
        <v>6200</v>
      </c>
    </row>
    <row r="45" spans="1:16" s="281" customFormat="1" ht="36" x14ac:dyDescent="0.3">
      <c r="A45" s="269" t="s">
        <v>334</v>
      </c>
      <c r="B45" s="58" t="s">
        <v>352</v>
      </c>
      <c r="C45" s="58"/>
      <c r="D45" s="284"/>
      <c r="E45" s="284"/>
      <c r="F45" s="284"/>
      <c r="G45" s="284"/>
      <c r="H45" s="284"/>
      <c r="I45" s="62" t="s">
        <v>303</v>
      </c>
      <c r="J45" s="57">
        <v>184.1</v>
      </c>
      <c r="K45" s="57">
        <v>185.9</v>
      </c>
      <c r="L45" s="57">
        <f>K45-J45</f>
        <v>1.8000000000000114</v>
      </c>
      <c r="M45" s="58">
        <v>12000</v>
      </c>
      <c r="O45" s="281" t="s">
        <v>73</v>
      </c>
    </row>
    <row r="46" spans="1:16" s="261" customFormat="1" ht="13" x14ac:dyDescent="0.3">
      <c r="A46" s="406" t="s">
        <v>77</v>
      </c>
      <c r="B46" s="324"/>
      <c r="C46" s="324"/>
      <c r="D46" s="324"/>
      <c r="E46" s="324"/>
      <c r="F46" s="324"/>
      <c r="G46" s="324"/>
      <c r="H46" s="324"/>
      <c r="I46" s="331"/>
      <c r="J46" s="402"/>
      <c r="K46" s="402"/>
      <c r="L46" s="402"/>
      <c r="M46" s="324"/>
    </row>
    <row r="47" spans="1:16" s="281" customFormat="1" ht="36" x14ac:dyDescent="0.3">
      <c r="A47" s="269" t="s">
        <v>312</v>
      </c>
      <c r="B47" s="58" t="s">
        <v>352</v>
      </c>
      <c r="C47" s="70" t="s">
        <v>352</v>
      </c>
      <c r="D47" s="58" t="s">
        <v>352</v>
      </c>
      <c r="E47" s="58" t="s">
        <v>352</v>
      </c>
      <c r="F47" s="180" t="s">
        <v>352</v>
      </c>
      <c r="G47" s="289" t="s">
        <v>352</v>
      </c>
      <c r="H47" s="289"/>
      <c r="I47" s="62" t="s">
        <v>313</v>
      </c>
      <c r="J47" s="57">
        <v>42</v>
      </c>
      <c r="K47" s="57">
        <v>119</v>
      </c>
      <c r="L47" s="57">
        <v>50</v>
      </c>
      <c r="M47" s="58" t="s">
        <v>314</v>
      </c>
    </row>
    <row r="48" spans="1:16" s="281" customFormat="1" ht="13" x14ac:dyDescent="0.3">
      <c r="A48" s="269" t="s">
        <v>315</v>
      </c>
      <c r="B48" s="58"/>
      <c r="C48" s="70"/>
      <c r="D48" s="58" t="s">
        <v>352</v>
      </c>
      <c r="E48" s="58" t="s">
        <v>352</v>
      </c>
      <c r="F48" s="289"/>
      <c r="G48" s="180"/>
      <c r="H48" s="289"/>
      <c r="I48" s="62" t="s">
        <v>316</v>
      </c>
      <c r="J48" s="57">
        <v>92</v>
      </c>
      <c r="K48" s="57">
        <v>99</v>
      </c>
      <c r="L48" s="57">
        <v>7</v>
      </c>
      <c r="M48" s="58">
        <v>7300</v>
      </c>
    </row>
    <row r="49" spans="1:13" s="281" customFormat="1" ht="24" x14ac:dyDescent="0.3">
      <c r="A49" s="269" t="s">
        <v>317</v>
      </c>
      <c r="B49" s="58"/>
      <c r="C49" s="70"/>
      <c r="D49" s="58"/>
      <c r="E49" s="58" t="s">
        <v>352</v>
      </c>
      <c r="F49" s="180" t="s">
        <v>352</v>
      </c>
      <c r="G49" s="289"/>
      <c r="H49" s="180"/>
      <c r="I49" s="527" t="s">
        <v>318</v>
      </c>
      <c r="J49" s="57">
        <v>107.9</v>
      </c>
      <c r="K49" s="57">
        <v>115.2</v>
      </c>
      <c r="L49" s="57">
        <f>K49-J49</f>
        <v>7.2999999999999972</v>
      </c>
      <c r="M49" s="58">
        <v>7300</v>
      </c>
    </row>
    <row r="50" spans="1:13" s="281" customFormat="1" ht="24" x14ac:dyDescent="0.3">
      <c r="A50" s="269" t="s">
        <v>319</v>
      </c>
      <c r="B50" s="70" t="s">
        <v>352</v>
      </c>
      <c r="C50" s="70" t="s">
        <v>352</v>
      </c>
      <c r="D50" s="180"/>
      <c r="E50" s="58"/>
      <c r="F50" s="58"/>
      <c r="G50" s="58"/>
      <c r="H50" s="58"/>
      <c r="I50" s="62" t="s">
        <v>320</v>
      </c>
      <c r="J50" s="57">
        <v>134</v>
      </c>
      <c r="K50" s="57">
        <v>141</v>
      </c>
      <c r="L50" s="57">
        <f>K50-J50</f>
        <v>7</v>
      </c>
      <c r="M50" s="58">
        <v>8500</v>
      </c>
    </row>
  </sheetData>
  <mergeCells count="11">
    <mergeCell ref="A2:M2"/>
    <mergeCell ref="A3:A4"/>
    <mergeCell ref="J3:K3"/>
    <mergeCell ref="L3:L4"/>
    <mergeCell ref="M3:M4"/>
    <mergeCell ref="B3:H3"/>
    <mergeCell ref="A33:A34"/>
    <mergeCell ref="B33:H33"/>
    <mergeCell ref="J33:K33"/>
    <mergeCell ref="L33:L34"/>
    <mergeCell ref="M33:M34"/>
  </mergeCells>
  <pageMargins left="0.7" right="0.7" top="0.75" bottom="0.75" header="0.3" footer="0.3"/>
  <pageSetup paperSize="9" orientation="portrait" r:id="rId1"/>
  <customProperties>
    <customPr name="EpmWorksheetKeyString_GUID" r:id="rId2"/>
  </customPropertie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9:N36"/>
  <sheetViews>
    <sheetView workbookViewId="0">
      <selection activeCell="N31" activeCellId="1" sqref="M34 N31"/>
    </sheetView>
  </sheetViews>
  <sheetFormatPr defaultRowHeight="14.5" x14ac:dyDescent="0.35"/>
  <cols>
    <col min="3" max="3" width="14.1796875" customWidth="1"/>
    <col min="4" max="7" width="12" customWidth="1"/>
  </cols>
  <sheetData>
    <row r="9" spans="2:7" x14ac:dyDescent="0.35">
      <c r="B9" t="s">
        <v>429</v>
      </c>
      <c r="C9" t="s">
        <v>427</v>
      </c>
    </row>
    <row r="10" spans="2:7" x14ac:dyDescent="0.35">
      <c r="C10" t="s">
        <v>428</v>
      </c>
    </row>
    <row r="11" spans="2:7" s="110" customFormat="1" x14ac:dyDescent="0.35"/>
    <row r="12" spans="2:7" x14ac:dyDescent="0.35">
      <c r="C12" s="443"/>
      <c r="D12" s="1609" t="s">
        <v>426</v>
      </c>
      <c r="E12" s="1610"/>
      <c r="F12" s="1610"/>
      <c r="G12" s="1611"/>
    </row>
    <row r="13" spans="2:7" ht="29" x14ac:dyDescent="0.35">
      <c r="C13" s="444" t="s">
        <v>425</v>
      </c>
      <c r="D13" s="444" t="s">
        <v>420</v>
      </c>
      <c r="E13" s="444" t="s">
        <v>424</v>
      </c>
      <c r="F13" s="444" t="s">
        <v>433</v>
      </c>
      <c r="G13" s="445" t="s">
        <v>423</v>
      </c>
    </row>
    <row r="14" spans="2:7" x14ac:dyDescent="0.35">
      <c r="C14" s="443" t="s">
        <v>421</v>
      </c>
      <c r="D14" s="442">
        <v>0.19</v>
      </c>
      <c r="E14" s="442">
        <v>0.26</v>
      </c>
      <c r="F14" s="442">
        <v>0.28000000000000003</v>
      </c>
      <c r="G14" s="442">
        <v>0.27</v>
      </c>
    </row>
    <row r="15" spans="2:7" x14ac:dyDescent="0.35">
      <c r="C15" s="443" t="s">
        <v>422</v>
      </c>
      <c r="D15" s="442">
        <v>0.2</v>
      </c>
      <c r="E15" s="442">
        <v>0.35</v>
      </c>
      <c r="F15" s="442">
        <v>0.28000000000000003</v>
      </c>
      <c r="G15" s="442">
        <v>0.17</v>
      </c>
    </row>
    <row r="17" spans="2:14" ht="51.75" customHeight="1" x14ac:dyDescent="0.35">
      <c r="B17" s="446" t="s">
        <v>430</v>
      </c>
      <c r="C17" s="1612" t="s">
        <v>431</v>
      </c>
      <c r="D17" s="1612"/>
      <c r="E17" s="1612"/>
      <c r="F17" s="1612"/>
      <c r="G17" s="1612"/>
      <c r="H17" s="1612"/>
      <c r="I17" s="1612"/>
      <c r="J17" s="1612"/>
      <c r="K17" s="1612"/>
      <c r="L17" s="1612"/>
      <c r="M17" s="1612"/>
      <c r="N17" s="1612"/>
    </row>
    <row r="18" spans="2:14" x14ac:dyDescent="0.35">
      <c r="C18" t="s">
        <v>432</v>
      </c>
    </row>
    <row r="19" spans="2:14" x14ac:dyDescent="0.35">
      <c r="C19" s="443"/>
      <c r="D19" s="1609" t="s">
        <v>426</v>
      </c>
      <c r="E19" s="1610"/>
      <c r="F19" s="1610"/>
      <c r="G19" s="1611"/>
    </row>
    <row r="20" spans="2:14" ht="29" x14ac:dyDescent="0.35">
      <c r="C20" s="444" t="s">
        <v>425</v>
      </c>
      <c r="D20" s="444" t="s">
        <v>420</v>
      </c>
      <c r="E20" s="444" t="s">
        <v>424</v>
      </c>
      <c r="F20" s="444" t="s">
        <v>433</v>
      </c>
      <c r="G20" s="445" t="s">
        <v>423</v>
      </c>
    </row>
    <row r="21" spans="2:14" x14ac:dyDescent="0.35">
      <c r="C21" s="443" t="s">
        <v>421</v>
      </c>
      <c r="D21" s="442">
        <v>0.19</v>
      </c>
      <c r="E21" s="442">
        <v>0.22</v>
      </c>
      <c r="F21" s="442">
        <v>0.27</v>
      </c>
      <c r="G21" s="442">
        <v>0.32</v>
      </c>
    </row>
    <row r="22" spans="2:14" s="110" customFormat="1" x14ac:dyDescent="0.35">
      <c r="C22" s="443">
        <v>2013</v>
      </c>
      <c r="D22" s="442">
        <v>0.2</v>
      </c>
      <c r="E22" s="442">
        <v>0.22</v>
      </c>
      <c r="F22" s="442">
        <v>0.26</v>
      </c>
      <c r="G22" s="442">
        <v>0.32</v>
      </c>
    </row>
    <row r="23" spans="2:14" s="110" customFormat="1" x14ac:dyDescent="0.35">
      <c r="C23" s="443">
        <v>2014</v>
      </c>
      <c r="D23" s="442">
        <v>0.22</v>
      </c>
      <c r="E23" s="442">
        <v>0.22</v>
      </c>
      <c r="F23" s="442">
        <v>0.25</v>
      </c>
      <c r="G23" s="442">
        <v>0.31</v>
      </c>
    </row>
    <row r="24" spans="2:14" s="110" customFormat="1" x14ac:dyDescent="0.35">
      <c r="C24" s="443">
        <v>2015</v>
      </c>
      <c r="D24" s="442"/>
      <c r="E24" s="442"/>
      <c r="F24" s="442"/>
      <c r="G24" s="442"/>
    </row>
    <row r="25" spans="2:14" x14ac:dyDescent="0.35">
      <c r="C25" s="443" t="s">
        <v>422</v>
      </c>
      <c r="D25" s="442">
        <v>0.2</v>
      </c>
      <c r="E25" s="442">
        <v>0.35</v>
      </c>
      <c r="F25" s="442">
        <v>0.28000000000000003</v>
      </c>
      <c r="G25" s="442">
        <v>0.17</v>
      </c>
    </row>
    <row r="28" spans="2:14" x14ac:dyDescent="0.35">
      <c r="C28" s="452" t="s">
        <v>439</v>
      </c>
      <c r="D28" s="452"/>
      <c r="E28" s="452" t="s">
        <v>440</v>
      </c>
    </row>
    <row r="29" spans="2:14" x14ac:dyDescent="0.35">
      <c r="C29" s="450">
        <v>16489</v>
      </c>
      <c r="D29" s="450" t="s">
        <v>441</v>
      </c>
      <c r="E29" s="450">
        <v>23500</v>
      </c>
    </row>
    <row r="30" spans="2:14" x14ac:dyDescent="0.35">
      <c r="C30" s="450">
        <v>15489</v>
      </c>
      <c r="D30" s="450" t="s">
        <v>442</v>
      </c>
      <c r="E30" s="450">
        <v>18455</v>
      </c>
    </row>
    <row r="31" spans="2:14" x14ac:dyDescent="0.35">
      <c r="C31" s="448">
        <v>10078</v>
      </c>
      <c r="D31" s="448" t="s">
        <v>443</v>
      </c>
      <c r="E31" s="448">
        <v>1504</v>
      </c>
    </row>
    <row r="32" spans="2:14" x14ac:dyDescent="0.35">
      <c r="C32" s="449">
        <v>5411</v>
      </c>
      <c r="D32" s="449" t="s">
        <v>444</v>
      </c>
      <c r="E32" s="449">
        <v>16951</v>
      </c>
    </row>
    <row r="33" spans="3:5" x14ac:dyDescent="0.35">
      <c r="C33" s="451">
        <v>1000</v>
      </c>
      <c r="D33" s="451" t="s">
        <v>445</v>
      </c>
      <c r="E33" s="451">
        <v>5048</v>
      </c>
    </row>
    <row r="34" spans="3:5" x14ac:dyDescent="0.35">
      <c r="C34" s="448">
        <v>1000</v>
      </c>
      <c r="D34" s="448" t="s">
        <v>443</v>
      </c>
      <c r="E34" s="448">
        <v>3723</v>
      </c>
    </row>
    <row r="35" spans="3:5" x14ac:dyDescent="0.35">
      <c r="C35" s="448">
        <v>0</v>
      </c>
      <c r="D35" s="448" t="s">
        <v>444</v>
      </c>
      <c r="E35" s="448">
        <v>1325</v>
      </c>
    </row>
    <row r="36" spans="3:5" x14ac:dyDescent="0.35">
      <c r="C36" s="447"/>
      <c r="D36" s="447"/>
      <c r="E36" s="447"/>
    </row>
  </sheetData>
  <mergeCells count="3">
    <mergeCell ref="D12:G12"/>
    <mergeCell ref="D19:G19"/>
    <mergeCell ref="C17:N17"/>
  </mergeCells>
  <pageMargins left="0.7" right="0.7" top="0.75" bottom="0.75" header="0.3" footer="0.3"/>
  <pageSetup paperSize="9" orientation="portrait" r:id="rId1"/>
  <customProperties>
    <customPr name="EpmWorksheetKeyString_GUID" r:id="rId2"/>
  </customPropertie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X51"/>
  <sheetViews>
    <sheetView zoomScale="85" zoomScaleNormal="85" workbookViewId="0">
      <pane xSplit="1" ySplit="2" topLeftCell="F27" activePane="bottomRight" state="frozen"/>
      <selection activeCell="N31" activeCellId="1" sqref="M34 N31"/>
      <selection pane="topRight" activeCell="N31" activeCellId="1" sqref="M34 N31"/>
      <selection pane="bottomLeft" activeCell="N31" activeCellId="1" sqref="M34 N31"/>
      <selection pane="bottomRight" activeCell="N31" activeCellId="1" sqref="M34 N31"/>
    </sheetView>
  </sheetViews>
  <sheetFormatPr defaultRowHeight="14.5" outlineLevelRow="1" outlineLevelCol="1" x14ac:dyDescent="0.35"/>
  <cols>
    <col min="1" max="1" width="41.453125" customWidth="1"/>
    <col min="2" max="2" width="8.81640625" customWidth="1"/>
    <col min="3" max="3" width="9.26953125" customWidth="1"/>
    <col min="4" max="4" width="10.453125" customWidth="1"/>
    <col min="5" max="5" width="9.26953125" customWidth="1"/>
    <col min="7" max="8" width="8.7265625" customWidth="1"/>
    <col min="9" max="9" width="7" hidden="1" customWidth="1" outlineLevel="1"/>
    <col min="10" max="11" width="5.7265625" hidden="1" customWidth="1" outlineLevel="1"/>
    <col min="12" max="16" width="8.26953125" hidden="1" customWidth="1" outlineLevel="1"/>
    <col min="17" max="17" width="9.1796875" style="110" hidden="1" customWidth="1" outlineLevel="1"/>
    <col min="18" max="18" width="9.1796875" collapsed="1"/>
    <col min="24" max="24" width="8.81640625" customWidth="1"/>
  </cols>
  <sheetData>
    <row r="1" spans="1:24" x14ac:dyDescent="0.35">
      <c r="A1" s="88" t="s">
        <v>48</v>
      </c>
      <c r="B1" s="88"/>
      <c r="C1" s="88"/>
      <c r="D1" s="204" t="s">
        <v>0</v>
      </c>
      <c r="E1" s="90"/>
      <c r="F1" s="90"/>
      <c r="G1" s="90"/>
      <c r="H1" s="90"/>
      <c r="I1" s="90"/>
      <c r="J1" s="90"/>
      <c r="K1" s="90"/>
      <c r="L1" s="90"/>
      <c r="M1" s="90"/>
      <c r="N1" s="90"/>
      <c r="O1" s="90"/>
      <c r="P1" s="90"/>
      <c r="Q1" s="90"/>
      <c r="R1" s="90"/>
      <c r="S1" s="90"/>
      <c r="T1" s="90"/>
      <c r="U1" s="90"/>
      <c r="V1" s="90"/>
      <c r="W1" s="90"/>
    </row>
    <row r="2" spans="1:24" ht="46.15" customHeight="1" x14ac:dyDescent="0.35">
      <c r="A2" s="21"/>
      <c r="B2" s="207" t="s">
        <v>1</v>
      </c>
      <c r="C2" s="207" t="s">
        <v>2</v>
      </c>
      <c r="D2" s="207" t="s">
        <v>341</v>
      </c>
      <c r="E2" s="100" t="s">
        <v>4</v>
      </c>
      <c r="F2" s="100" t="s">
        <v>5</v>
      </c>
      <c r="G2" s="100" t="s">
        <v>6</v>
      </c>
      <c r="H2" s="100" t="s">
        <v>7</v>
      </c>
      <c r="I2" s="203"/>
      <c r="J2" s="100">
        <v>2014</v>
      </c>
      <c r="K2" s="100">
        <v>2015</v>
      </c>
      <c r="L2" s="100">
        <v>2016</v>
      </c>
      <c r="M2" s="100">
        <v>2017</v>
      </c>
      <c r="N2" s="100">
        <v>2018</v>
      </c>
      <c r="O2" s="100">
        <v>2019</v>
      </c>
      <c r="P2" s="100">
        <v>2020</v>
      </c>
      <c r="R2" s="100">
        <v>2021</v>
      </c>
      <c r="S2" s="100">
        <v>2022</v>
      </c>
      <c r="T2" s="100">
        <v>2023</v>
      </c>
      <c r="U2" s="100">
        <v>2024</v>
      </c>
      <c r="V2" s="100">
        <v>2025</v>
      </c>
      <c r="W2" s="100">
        <v>2026</v>
      </c>
      <c r="X2" s="100">
        <v>2027</v>
      </c>
    </row>
    <row r="3" spans="1:24" x14ac:dyDescent="0.35">
      <c r="A3" s="205" t="s">
        <v>8</v>
      </c>
      <c r="B3" s="206"/>
      <c r="C3" s="206"/>
      <c r="D3" s="206"/>
      <c r="E3" s="206"/>
      <c r="F3" s="206"/>
      <c r="G3" s="206"/>
      <c r="H3" s="206"/>
      <c r="J3" s="1613" t="s">
        <v>158</v>
      </c>
      <c r="K3" s="1614"/>
      <c r="L3" s="1614"/>
      <c r="M3" s="1614"/>
      <c r="N3" s="1614"/>
      <c r="O3" s="1614"/>
      <c r="P3" s="1615"/>
      <c r="R3" s="42"/>
      <c r="S3" s="42"/>
      <c r="T3" s="42"/>
      <c r="U3" s="42"/>
      <c r="V3" s="42"/>
      <c r="W3" s="42"/>
      <c r="X3" s="42"/>
    </row>
    <row r="4" spans="1:24" x14ac:dyDescent="0.35">
      <c r="A4" s="89" t="s">
        <v>9</v>
      </c>
      <c r="B4" s="35">
        <v>28012.5</v>
      </c>
      <c r="C4" s="35">
        <v>28012.5</v>
      </c>
      <c r="D4" s="35">
        <v>28012.5</v>
      </c>
      <c r="E4" s="35">
        <v>28012.5</v>
      </c>
      <c r="F4" s="7">
        <v>28012.5</v>
      </c>
      <c r="G4" s="7"/>
      <c r="H4" s="7"/>
      <c r="J4" s="1613"/>
      <c r="K4" s="1614"/>
      <c r="L4" s="1614"/>
      <c r="M4" s="1614"/>
      <c r="N4" s="1614"/>
      <c r="O4" s="1614"/>
      <c r="P4" s="1615"/>
      <c r="R4" s="35"/>
      <c r="S4" s="35"/>
      <c r="T4" s="35"/>
      <c r="U4" s="35"/>
      <c r="V4" s="7"/>
      <c r="W4" s="7"/>
      <c r="X4" s="7"/>
    </row>
    <row r="5" spans="1:24" x14ac:dyDescent="0.35">
      <c r="A5" s="6" t="s">
        <v>10</v>
      </c>
      <c r="B5" s="36">
        <v>14030</v>
      </c>
      <c r="C5" s="36">
        <v>3700</v>
      </c>
      <c r="D5" s="36">
        <v>0</v>
      </c>
      <c r="E5" s="36">
        <v>0</v>
      </c>
      <c r="F5" s="36">
        <v>0</v>
      </c>
      <c r="G5" s="36">
        <v>0</v>
      </c>
      <c r="H5" s="36">
        <v>0</v>
      </c>
      <c r="J5" s="1613"/>
      <c r="K5" s="1614"/>
      <c r="L5" s="1614"/>
      <c r="M5" s="1614"/>
      <c r="N5" s="1614"/>
      <c r="O5" s="1614"/>
      <c r="P5" s="1615"/>
      <c r="R5" s="36"/>
      <c r="S5" s="36"/>
      <c r="T5" s="36"/>
      <c r="U5" s="36"/>
      <c r="V5" s="36"/>
      <c r="W5" s="36"/>
      <c r="X5" s="36"/>
    </row>
    <row r="6" spans="1:24" x14ac:dyDescent="0.35">
      <c r="A6" s="6" t="s">
        <v>11</v>
      </c>
      <c r="B6" s="36">
        <v>0</v>
      </c>
      <c r="C6" s="36">
        <v>0</v>
      </c>
      <c r="D6" s="36">
        <v>3000</v>
      </c>
      <c r="E6" s="36">
        <v>5000</v>
      </c>
      <c r="F6" s="36">
        <v>5000</v>
      </c>
      <c r="G6" s="36">
        <v>10000</v>
      </c>
      <c r="H6" s="36">
        <v>10000</v>
      </c>
      <c r="J6" s="1613"/>
      <c r="K6" s="1614"/>
      <c r="L6" s="1614"/>
      <c r="M6" s="1614"/>
      <c r="N6" s="1614"/>
      <c r="O6" s="1614"/>
      <c r="P6" s="1615"/>
      <c r="R6" s="36"/>
      <c r="S6" s="36"/>
      <c r="T6" s="36"/>
      <c r="U6" s="36"/>
      <c r="V6" s="36"/>
      <c r="W6" s="36"/>
      <c r="X6" s="36"/>
    </row>
    <row r="7" spans="1:24" x14ac:dyDescent="0.35">
      <c r="A7" s="21" t="s">
        <v>12</v>
      </c>
      <c r="B7" s="40">
        <v>42042.5</v>
      </c>
      <c r="C7" s="40">
        <v>31712.5</v>
      </c>
      <c r="D7" s="40">
        <v>31012.5</v>
      </c>
      <c r="E7" s="40">
        <v>33012.5</v>
      </c>
      <c r="F7" s="40">
        <v>33012.5</v>
      </c>
      <c r="G7" s="40">
        <v>41522.5</v>
      </c>
      <c r="H7" s="40">
        <v>42220</v>
      </c>
      <c r="J7" s="1536"/>
      <c r="K7" s="1616"/>
      <c r="L7" s="1616"/>
      <c r="M7" s="1616"/>
      <c r="N7" s="1616"/>
      <c r="O7" s="1616"/>
      <c r="P7" s="1617"/>
      <c r="R7" s="40">
        <f>+SUM(R4:R6)</f>
        <v>0</v>
      </c>
      <c r="S7" s="40">
        <f t="shared" ref="S7:X7" si="0">+SUM(S4:S6)</f>
        <v>0</v>
      </c>
      <c r="T7" s="40">
        <f t="shared" si="0"/>
        <v>0</v>
      </c>
      <c r="U7" s="40">
        <f t="shared" si="0"/>
        <v>0</v>
      </c>
      <c r="V7" s="40">
        <f t="shared" si="0"/>
        <v>0</v>
      </c>
      <c r="W7" s="40">
        <f t="shared" si="0"/>
        <v>0</v>
      </c>
      <c r="X7" s="40">
        <f t="shared" si="0"/>
        <v>0</v>
      </c>
    </row>
    <row r="8" spans="1:24" x14ac:dyDescent="0.35">
      <c r="A8" s="97"/>
      <c r="B8" s="94"/>
      <c r="C8" s="94"/>
      <c r="D8" s="94"/>
      <c r="E8" s="94"/>
      <c r="F8" s="94"/>
      <c r="G8" s="94"/>
      <c r="H8" s="94"/>
      <c r="R8" s="94"/>
      <c r="S8" s="94"/>
      <c r="T8" s="94"/>
      <c r="U8" s="94"/>
      <c r="V8" s="94"/>
      <c r="W8" s="94"/>
      <c r="X8" s="94"/>
    </row>
    <row r="9" spans="1:24" x14ac:dyDescent="0.35">
      <c r="A9" s="23" t="s">
        <v>13</v>
      </c>
      <c r="B9" s="42"/>
      <c r="C9" s="42"/>
      <c r="D9" s="42"/>
      <c r="E9" s="42"/>
      <c r="F9" s="42"/>
      <c r="G9" s="42"/>
      <c r="H9" s="117"/>
      <c r="J9" s="42"/>
      <c r="K9" s="42"/>
      <c r="L9" s="42"/>
      <c r="M9" s="42"/>
      <c r="N9" s="42"/>
      <c r="O9" s="42"/>
      <c r="P9" s="117"/>
      <c r="R9" s="42"/>
      <c r="S9" s="42"/>
      <c r="T9" s="42"/>
      <c r="U9" s="42"/>
      <c r="V9" s="42"/>
      <c r="W9" s="42"/>
      <c r="X9" s="117"/>
    </row>
    <row r="10" spans="1:24" x14ac:dyDescent="0.35">
      <c r="A10" s="13" t="s">
        <v>14</v>
      </c>
      <c r="B10" s="33">
        <v>19033.226999999999</v>
      </c>
      <c r="C10" s="33">
        <v>12843.25</v>
      </c>
      <c r="D10" s="33">
        <v>0</v>
      </c>
      <c r="E10" s="33">
        <v>0</v>
      </c>
      <c r="F10" s="33">
        <v>0</v>
      </c>
      <c r="G10" s="33">
        <v>0</v>
      </c>
      <c r="H10" s="33">
        <v>0</v>
      </c>
      <c r="J10" s="33">
        <f>+B10-'Kehtiv finantsplaan 14-20'!B12</f>
        <v>0</v>
      </c>
      <c r="K10" s="33">
        <f>+C10-'Kehtiv finantsplaan 14-20'!C12</f>
        <v>0</v>
      </c>
      <c r="L10" s="33">
        <f>+D10-'Kehtiv finantsplaan 14-20'!D12</f>
        <v>0</v>
      </c>
      <c r="M10" s="33">
        <f>+E10-'Kehtiv finantsplaan 14-20'!E12</f>
        <v>0</v>
      </c>
      <c r="N10" s="33">
        <f>+F10-'Kehtiv finantsplaan 14-20'!F12</f>
        <v>0</v>
      </c>
      <c r="O10" s="33">
        <f>+G10-'Kehtiv finantsplaan 14-20'!G12</f>
        <v>0</v>
      </c>
      <c r="P10" s="33">
        <f>+H10-'Kehtiv finantsplaan 14-20'!H12</f>
        <v>0</v>
      </c>
      <c r="R10" s="33"/>
      <c r="S10" s="33"/>
      <c r="T10" s="33"/>
      <c r="U10" s="33"/>
      <c r="V10" s="33"/>
      <c r="W10" s="33"/>
      <c r="X10" s="33"/>
    </row>
    <row r="11" spans="1:24" x14ac:dyDescent="0.35">
      <c r="A11" s="13" t="s">
        <v>15</v>
      </c>
      <c r="B11" s="33">
        <v>27200</v>
      </c>
      <c r="C11" s="33">
        <v>52949.75</v>
      </c>
      <c r="D11" s="33">
        <v>32300</v>
      </c>
      <c r="E11" s="33">
        <v>34000</v>
      </c>
      <c r="F11" s="33">
        <v>34000</v>
      </c>
      <c r="G11" s="33">
        <v>16100</v>
      </c>
      <c r="H11" s="33">
        <v>3450</v>
      </c>
      <c r="J11" s="33">
        <f>+B11-'Kehtiv finantsplaan 14-20'!B13</f>
        <v>0</v>
      </c>
      <c r="K11" s="33">
        <f>+C11-'Kehtiv finantsplaan 14-20'!C13</f>
        <v>0</v>
      </c>
      <c r="L11" s="33">
        <f>+D11-'Kehtiv finantsplaan 14-20'!D13</f>
        <v>0</v>
      </c>
      <c r="M11" s="33">
        <f>+E11-'Kehtiv finantsplaan 14-20'!E13</f>
        <v>0</v>
      </c>
      <c r="N11" s="33">
        <f>+F11-'Kehtiv finantsplaan 14-20'!F13</f>
        <v>0</v>
      </c>
      <c r="O11" s="33">
        <f>+G11-'Kehtiv finantsplaan 14-20'!G13</f>
        <v>0</v>
      </c>
      <c r="P11" s="33">
        <f>+H11-'Kehtiv finantsplaan 14-20'!H13</f>
        <v>0</v>
      </c>
      <c r="R11" s="33"/>
      <c r="S11" s="33"/>
      <c r="T11" s="33"/>
      <c r="U11" s="33"/>
      <c r="V11" s="33"/>
      <c r="W11" s="33"/>
      <c r="X11" s="33"/>
    </row>
    <row r="12" spans="1:24" x14ac:dyDescent="0.35">
      <c r="A12" s="13" t="s">
        <v>16</v>
      </c>
      <c r="B12" s="33">
        <v>7402.0190000000002</v>
      </c>
      <c r="C12" s="33"/>
      <c r="D12" s="33"/>
      <c r="E12" s="33"/>
      <c r="F12" s="33"/>
      <c r="G12" s="33"/>
      <c r="H12" s="33"/>
      <c r="J12" s="33">
        <f>+B12-'Kehtiv finantsplaan 14-20'!B14</f>
        <v>0</v>
      </c>
      <c r="K12" s="33">
        <f>+C12-'Kehtiv finantsplaan 14-20'!C14</f>
        <v>0</v>
      </c>
      <c r="L12" s="33">
        <f>+D12-'Kehtiv finantsplaan 14-20'!D14</f>
        <v>0</v>
      </c>
      <c r="M12" s="33">
        <f>+E12-'Kehtiv finantsplaan 14-20'!E14</f>
        <v>0</v>
      </c>
      <c r="N12" s="33">
        <f>+F12-'Kehtiv finantsplaan 14-20'!F14</f>
        <v>0</v>
      </c>
      <c r="O12" s="33">
        <f>+G12-'Kehtiv finantsplaan 14-20'!G14</f>
        <v>0</v>
      </c>
      <c r="P12" s="33">
        <f>+H12-'Kehtiv finantsplaan 14-20'!H14</f>
        <v>0</v>
      </c>
      <c r="R12" s="33"/>
      <c r="S12" s="33"/>
      <c r="T12" s="33"/>
      <c r="U12" s="33"/>
      <c r="V12" s="33"/>
      <c r="W12" s="33"/>
      <c r="X12" s="33"/>
    </row>
    <row r="13" spans="1:24" x14ac:dyDescent="0.35">
      <c r="A13" s="89" t="s">
        <v>9</v>
      </c>
      <c r="B13" s="35">
        <v>191849.52100000001</v>
      </c>
      <c r="C13" s="35">
        <v>175744.78</v>
      </c>
      <c r="D13" s="35">
        <f>+D48</f>
        <v>208348</v>
      </c>
      <c r="E13" s="35">
        <v>209937.5</v>
      </c>
      <c r="F13" s="35">
        <v>227637.5</v>
      </c>
      <c r="G13" s="35">
        <v>227638</v>
      </c>
      <c r="H13" s="35">
        <f>+H48</f>
        <v>247637.82011718745</v>
      </c>
      <c r="J13" s="35">
        <f>+B13-'Kehtiv finantsplaan 14-20'!B15</f>
        <v>0</v>
      </c>
      <c r="K13" s="35">
        <f>+C13-'Kehtiv finantsplaan 14-20'!C15</f>
        <v>0</v>
      </c>
      <c r="L13" s="35">
        <f>+D13-'Kehtiv finantsplaan 14-20'!D15</f>
        <v>-1039.5</v>
      </c>
      <c r="M13" s="35">
        <f>+E13-'Kehtiv finantsplaan 14-20'!E15</f>
        <v>0</v>
      </c>
      <c r="N13" s="35">
        <f>+F13-'Kehtiv finantsplaan 14-20'!F15</f>
        <v>0</v>
      </c>
      <c r="O13" s="35">
        <f>+G13-'Kehtiv finantsplaan 14-20'!G15</f>
        <v>-18015</v>
      </c>
      <c r="P13" s="35">
        <f>+H13-'Kehtiv finantsplaan 14-20'!H15</f>
        <v>-17892.179882812547</v>
      </c>
      <c r="R13" s="35">
        <f>R48</f>
        <v>263274.9025195312</v>
      </c>
      <c r="S13" s="35">
        <f t="shared" ref="S13:X13" si="1">S48</f>
        <v>271129.40056992188</v>
      </c>
      <c r="T13" s="35">
        <f t="shared" si="1"/>
        <v>284088.98858132027</v>
      </c>
      <c r="U13" s="35">
        <f t="shared" si="1"/>
        <v>284154.69335294666</v>
      </c>
      <c r="V13" s="35">
        <f t="shared" si="1"/>
        <v>289328.81034500559</v>
      </c>
      <c r="W13" s="35">
        <f t="shared" si="1"/>
        <v>294613.68525503069</v>
      </c>
      <c r="X13" s="35">
        <f t="shared" si="1"/>
        <v>295011.71513083449</v>
      </c>
    </row>
    <row r="14" spans="1:24" x14ac:dyDescent="0.35">
      <c r="A14" s="89" t="s">
        <v>17</v>
      </c>
      <c r="B14" s="394">
        <v>46233.226999999999</v>
      </c>
      <c r="C14" s="394">
        <v>65793</v>
      </c>
      <c r="D14" s="394">
        <f>+D27+D37</f>
        <v>34722.5</v>
      </c>
      <c r="E14" s="394">
        <f>+E27+E37</f>
        <v>48025</v>
      </c>
      <c r="F14" s="394">
        <f>+F27+F37</f>
        <v>51850</v>
      </c>
      <c r="G14" s="394">
        <f>+G27+G37</f>
        <v>9350</v>
      </c>
      <c r="H14" s="35"/>
      <c r="J14" s="35">
        <f>+B14-'Kehtiv finantsplaan 14-20'!B16</f>
        <v>0</v>
      </c>
      <c r="K14" s="35">
        <f>+C14-'Kehtiv finantsplaan 14-20'!C16</f>
        <v>0</v>
      </c>
      <c r="L14" s="35">
        <f>+D14-'Kehtiv finantsplaan 14-20'!D16</f>
        <v>2422.5</v>
      </c>
      <c r="M14" s="35">
        <f>+E14-'Kehtiv finantsplaan 14-20'!E16</f>
        <v>14025</v>
      </c>
      <c r="N14" s="35">
        <f>+F14-'Kehtiv finantsplaan 14-20'!F16</f>
        <v>17850</v>
      </c>
      <c r="O14" s="35">
        <f>+G14-'Kehtiv finantsplaan 14-20'!G16</f>
        <v>-10200</v>
      </c>
      <c r="P14" s="35">
        <f>+H14-'Kehtiv finantsplaan 14-20'!H16</f>
        <v>0</v>
      </c>
      <c r="R14" s="35"/>
      <c r="S14" s="35"/>
      <c r="T14" s="35"/>
      <c r="U14" s="35"/>
      <c r="V14" s="35"/>
      <c r="W14" s="35"/>
      <c r="X14" s="35"/>
    </row>
    <row r="15" spans="1:24" x14ac:dyDescent="0.35">
      <c r="A15" s="32" t="s">
        <v>157</v>
      </c>
      <c r="B15" s="35">
        <v>0</v>
      </c>
      <c r="C15" s="35">
        <v>0</v>
      </c>
      <c r="D15" s="35">
        <v>0</v>
      </c>
      <c r="E15" s="35">
        <v>0</v>
      </c>
      <c r="F15" s="35">
        <f>F41+F40</f>
        <v>0</v>
      </c>
      <c r="G15" s="394">
        <f>G41+G40</f>
        <v>10000</v>
      </c>
      <c r="H15" s="394">
        <f>H41+H40</f>
        <v>42000</v>
      </c>
      <c r="I15" s="395"/>
      <c r="J15" s="394">
        <v>0</v>
      </c>
      <c r="K15" s="394">
        <v>0</v>
      </c>
      <c r="L15" s="394">
        <v>-30000</v>
      </c>
      <c r="M15" s="394">
        <v>-40000</v>
      </c>
      <c r="N15" s="394">
        <v>-40000</v>
      </c>
      <c r="O15" s="394">
        <v>-25000</v>
      </c>
      <c r="P15" s="394">
        <v>-25000</v>
      </c>
      <c r="Q15" s="395"/>
      <c r="R15" s="394">
        <v>30000</v>
      </c>
      <c r="S15" s="394">
        <v>50000</v>
      </c>
      <c r="T15" s="394">
        <v>40000</v>
      </c>
      <c r="U15" s="35"/>
      <c r="V15" s="35"/>
      <c r="W15" s="35"/>
      <c r="X15" s="35"/>
    </row>
    <row r="16" spans="1:24" ht="12" customHeight="1" x14ac:dyDescent="0.35">
      <c r="A16" s="32" t="s">
        <v>19</v>
      </c>
      <c r="B16" s="35">
        <v>0</v>
      </c>
      <c r="C16" s="35">
        <v>0</v>
      </c>
      <c r="D16" s="35"/>
      <c r="E16" s="35">
        <v>0</v>
      </c>
      <c r="F16" s="35">
        <v>0</v>
      </c>
      <c r="G16" s="35">
        <v>0</v>
      </c>
      <c r="H16" s="35">
        <v>0</v>
      </c>
      <c r="J16" s="35">
        <f>+B16-'Kehtiv finantsplaan 14-20'!B18</f>
        <v>0</v>
      </c>
      <c r="K16" s="35">
        <f>+C16-'Kehtiv finantsplaan 14-20'!C18</f>
        <v>0</v>
      </c>
      <c r="L16" s="35">
        <f>+D16-'Kehtiv finantsplaan 14-20'!D18</f>
        <v>0</v>
      </c>
      <c r="M16" s="35">
        <f>+E16-'Kehtiv finantsplaan 14-20'!E18</f>
        <v>0</v>
      </c>
      <c r="N16" s="35">
        <f>+F16-'Kehtiv finantsplaan 14-20'!F18</f>
        <v>0</v>
      </c>
      <c r="O16" s="35">
        <f>+G16-'Kehtiv finantsplaan 14-20'!G18</f>
        <v>0</v>
      </c>
      <c r="P16" s="35">
        <f>+H16-'Kehtiv finantsplaan 14-20'!H18</f>
        <v>0</v>
      </c>
      <c r="R16" s="35"/>
      <c r="S16" s="35"/>
      <c r="T16" s="35"/>
      <c r="U16" s="35"/>
      <c r="V16" s="35"/>
      <c r="W16" s="35"/>
      <c r="X16" s="35"/>
    </row>
    <row r="17" spans="1:24" ht="15" thickBot="1" x14ac:dyDescent="0.4">
      <c r="A17" s="93" t="s">
        <v>20</v>
      </c>
      <c r="B17" s="98">
        <v>238082.74800000002</v>
      </c>
      <c r="C17" s="98">
        <v>241537.78</v>
      </c>
      <c r="D17" s="98">
        <v>244110.5</v>
      </c>
      <c r="E17" s="98">
        <f>SUM(E13:E16)</f>
        <v>257962.5</v>
      </c>
      <c r="F17" s="98">
        <f>SUM(F13:F16)</f>
        <v>279487.5</v>
      </c>
      <c r="G17" s="98">
        <f>SUM(G13:G16)</f>
        <v>246988</v>
      </c>
      <c r="H17" s="98">
        <f>SUM(H13:H16)</f>
        <v>289637.82011718745</v>
      </c>
      <c r="J17" s="41">
        <f>+B17-'Kehtiv finantsplaan 14-20'!B19</f>
        <v>0</v>
      </c>
      <c r="K17" s="41">
        <f>+C17-'Kehtiv finantsplaan 14-20'!C19</f>
        <v>0</v>
      </c>
      <c r="L17" s="41">
        <f>+D17-'Kehtiv finantsplaan 14-20'!D19</f>
        <v>-27577</v>
      </c>
      <c r="M17" s="41">
        <f>+E17-'Kehtiv finantsplaan 14-20'!E19</f>
        <v>-25975</v>
      </c>
      <c r="N17" s="41">
        <f>+F17-'Kehtiv finantsplaan 14-20'!F19</f>
        <v>-22150</v>
      </c>
      <c r="O17" s="41">
        <f>+G17-'Kehtiv finantsplaan 14-20'!G19</f>
        <v>-68215</v>
      </c>
      <c r="P17" s="41">
        <f>+H17-'Kehtiv finantsplaan 14-20'!H19</f>
        <v>-25892.179882812547</v>
      </c>
      <c r="R17" s="98">
        <f t="shared" ref="R17:X17" si="2">SUM(R13:R16)</f>
        <v>293274.9025195312</v>
      </c>
      <c r="S17" s="98">
        <f t="shared" si="2"/>
        <v>321129.40056992188</v>
      </c>
      <c r="T17" s="98">
        <f t="shared" si="2"/>
        <v>324088.98858132027</v>
      </c>
      <c r="U17" s="98">
        <f t="shared" si="2"/>
        <v>284154.69335294666</v>
      </c>
      <c r="V17" s="98">
        <f t="shared" si="2"/>
        <v>289328.81034500559</v>
      </c>
      <c r="W17" s="98">
        <f t="shared" si="2"/>
        <v>294613.68525503069</v>
      </c>
      <c r="X17" s="98">
        <f t="shared" si="2"/>
        <v>295011.71513083449</v>
      </c>
    </row>
    <row r="18" spans="1:24" ht="16.5" thickTop="1" thickBot="1" x14ac:dyDescent="0.4">
      <c r="A18" s="99" t="s">
        <v>21</v>
      </c>
      <c r="B18" s="118"/>
      <c r="C18" s="119"/>
      <c r="D18" s="119"/>
      <c r="E18" s="119"/>
      <c r="F18" s="119"/>
      <c r="G18" s="119"/>
      <c r="H18" s="120"/>
      <c r="J18" s="202"/>
      <c r="K18" s="202"/>
      <c r="L18" s="202"/>
      <c r="M18" s="202"/>
      <c r="N18" s="202"/>
      <c r="O18" s="202"/>
      <c r="P18" s="202"/>
      <c r="R18" s="118"/>
      <c r="S18" s="119"/>
      <c r="T18" s="119"/>
      <c r="U18" s="119"/>
      <c r="V18" s="119"/>
      <c r="W18" s="119"/>
      <c r="X18" s="120"/>
    </row>
    <row r="19" spans="1:24" ht="15" thickBot="1" x14ac:dyDescent="0.4">
      <c r="A19" s="21" t="s">
        <v>22</v>
      </c>
      <c r="B19" s="100">
        <v>2014</v>
      </c>
      <c r="C19" s="100">
        <v>2015</v>
      </c>
      <c r="D19" s="100">
        <v>2016</v>
      </c>
      <c r="E19" s="100">
        <v>2017</v>
      </c>
      <c r="F19" s="100">
        <v>2018</v>
      </c>
      <c r="G19" s="100">
        <v>2019</v>
      </c>
      <c r="H19" s="100">
        <v>2020</v>
      </c>
      <c r="J19" s="19">
        <f>+B19-'Kehtiv finantsplaan 14-20'!B21</f>
        <v>0</v>
      </c>
      <c r="K19" s="19">
        <f>+C19-'Kehtiv finantsplaan 14-20'!C21</f>
        <v>0</v>
      </c>
      <c r="L19" s="19">
        <f>+D19-'Kehtiv finantsplaan 14-20'!D21</f>
        <v>0</v>
      </c>
      <c r="M19" s="19">
        <f>+E19-'Kehtiv finantsplaan 14-20'!E21</f>
        <v>0</v>
      </c>
      <c r="N19" s="19">
        <f>+F19-'Kehtiv finantsplaan 14-20'!F21</f>
        <v>0</v>
      </c>
      <c r="O19" s="19">
        <f>+G19-'Kehtiv finantsplaan 14-20'!G21</f>
        <v>0</v>
      </c>
      <c r="P19" s="20">
        <f>+H19-'Kehtiv finantsplaan 14-20'!H21</f>
        <v>0</v>
      </c>
      <c r="R19" s="100">
        <f>+R2</f>
        <v>2021</v>
      </c>
      <c r="S19" s="100">
        <f t="shared" ref="S19:X19" si="3">+S2</f>
        <v>2022</v>
      </c>
      <c r="T19" s="100">
        <f t="shared" si="3"/>
        <v>2023</v>
      </c>
      <c r="U19" s="100">
        <f t="shared" si="3"/>
        <v>2024</v>
      </c>
      <c r="V19" s="100">
        <f t="shared" si="3"/>
        <v>2025</v>
      </c>
      <c r="W19" s="100">
        <f t="shared" si="3"/>
        <v>2026</v>
      </c>
      <c r="X19" s="100">
        <f t="shared" si="3"/>
        <v>2027</v>
      </c>
    </row>
    <row r="20" spans="1:24" x14ac:dyDescent="0.35">
      <c r="A20" s="6" t="s">
        <v>23</v>
      </c>
      <c r="B20" s="46">
        <v>48555</v>
      </c>
      <c r="C20" s="46">
        <v>50376</v>
      </c>
      <c r="D20" s="210">
        <v>48623</v>
      </c>
      <c r="E20" s="210">
        <v>48081.69</v>
      </c>
      <c r="F20" s="210">
        <v>49000</v>
      </c>
      <c r="G20" s="210">
        <v>50225</v>
      </c>
      <c r="H20" s="210">
        <v>51480</v>
      </c>
      <c r="I20" s="53"/>
      <c r="J20" s="212">
        <f>+B20-'Kehtiv finantsplaan 14-20'!B22</f>
        <v>0</v>
      </c>
      <c r="K20" s="212">
        <f>+C20-'Kehtiv finantsplaan 14-20'!C22</f>
        <v>0</v>
      </c>
      <c r="L20" s="212">
        <f>+D20-'Kehtiv finantsplaan 14-20'!D22</f>
        <v>-5000</v>
      </c>
      <c r="M20" s="212">
        <f>+E20-'Kehtiv finantsplaan 14-20'!E22</f>
        <v>-9009.3099999999977</v>
      </c>
      <c r="N20" s="212">
        <f>+F20-'Kehtiv finantsplaan 14-20'!F22</f>
        <v>-9511</v>
      </c>
      <c r="O20" s="212">
        <f>+G20-'Kehtiv finantsplaan 14-20'!G22</f>
        <v>-9741</v>
      </c>
      <c r="P20" s="212">
        <f>+H20-'Kehtiv finantsplaan 14-20'!H22</f>
        <v>-9978</v>
      </c>
      <c r="Q20" s="53"/>
      <c r="R20" s="210">
        <v>54050</v>
      </c>
      <c r="S20" s="210">
        <v>55400</v>
      </c>
      <c r="T20" s="210">
        <f>+S20*1.025</f>
        <v>56784.999999999993</v>
      </c>
      <c r="U20" s="210">
        <f>+T20*1.025</f>
        <v>58204.624999999985</v>
      </c>
      <c r="V20" s="210">
        <f>+U20*1.025</f>
        <v>59659.740624999977</v>
      </c>
      <c r="W20" s="210">
        <f>+V20*1.025</f>
        <v>61151.234140624969</v>
      </c>
      <c r="X20" s="210">
        <f>+W20*1.025</f>
        <v>62680.014994140591</v>
      </c>
    </row>
    <row r="21" spans="1:24" x14ac:dyDescent="0.35">
      <c r="A21" s="9" t="s">
        <v>24</v>
      </c>
      <c r="B21" s="46">
        <v>6180</v>
      </c>
      <c r="C21" s="46">
        <v>6334.4999999999991</v>
      </c>
      <c r="D21" s="46">
        <v>8493</v>
      </c>
      <c r="E21" s="46">
        <v>8500</v>
      </c>
      <c r="F21" s="46">
        <v>9024</v>
      </c>
      <c r="G21" s="210">
        <f>7992+785</f>
        <v>8777</v>
      </c>
      <c r="H21" s="210">
        <f>8000+1060</f>
        <v>9060</v>
      </c>
      <c r="I21" s="53"/>
      <c r="J21" s="212">
        <f>+B21-'Kehtiv finantsplaan 14-20'!B23</f>
        <v>0</v>
      </c>
      <c r="K21" s="212">
        <f>+C21-'Kehtiv finantsplaan 14-20'!C23</f>
        <v>0</v>
      </c>
      <c r="L21" s="212">
        <f>+D21-'Kehtiv finantsplaan 14-20'!D23</f>
        <v>2000.1375000000016</v>
      </c>
      <c r="M21" s="212">
        <f>+E21-'Kehtiv finantsplaan 14-20'!E23</f>
        <v>1844.8159375000023</v>
      </c>
      <c r="N21" s="212">
        <f>+F21-'Kehtiv finantsplaan 14-20'!F23</f>
        <v>2202.4363359375029</v>
      </c>
      <c r="O21" s="212">
        <f>+G21-'Kehtiv finantsplaan 14-20'!G23</f>
        <v>1784.8972443359407</v>
      </c>
      <c r="P21" s="212">
        <f>+H21-'Kehtiv finantsplaan 14-20'!H23</f>
        <v>1893.0946754443403</v>
      </c>
      <c r="Q21" s="53"/>
      <c r="R21" s="210">
        <f>+H21*1.02</f>
        <v>9241.2000000000007</v>
      </c>
      <c r="S21" s="210">
        <f t="shared" ref="S21:X25" si="4">+R21*1.02</f>
        <v>9426.0240000000013</v>
      </c>
      <c r="T21" s="210">
        <f t="shared" si="4"/>
        <v>9614.5444800000023</v>
      </c>
      <c r="U21" s="210">
        <f t="shared" si="4"/>
        <v>9806.8353696000031</v>
      </c>
      <c r="V21" s="210">
        <f t="shared" si="4"/>
        <v>10002.972076992004</v>
      </c>
      <c r="W21" s="210">
        <f t="shared" si="4"/>
        <v>10203.031518531845</v>
      </c>
      <c r="X21" s="210">
        <f t="shared" si="4"/>
        <v>10407.092148902482</v>
      </c>
    </row>
    <row r="22" spans="1:24" ht="28.5" customHeight="1" x14ac:dyDescent="0.35">
      <c r="A22" s="1" t="s">
        <v>139</v>
      </c>
      <c r="B22" s="46">
        <v>22301</v>
      </c>
      <c r="C22" s="46">
        <v>18841.916761176471</v>
      </c>
      <c r="D22" s="46">
        <v>20000</v>
      </c>
      <c r="E22" s="46">
        <v>20000</v>
      </c>
      <c r="F22" s="46">
        <v>20500</v>
      </c>
      <c r="G22" s="46">
        <v>21012.499999999996</v>
      </c>
      <c r="H22" s="46">
        <v>21537.812499999993</v>
      </c>
      <c r="J22" s="37">
        <f>+B22-'Kehtiv finantsplaan 14-20'!B24</f>
        <v>0</v>
      </c>
      <c r="K22" s="37">
        <f>+C22-'Kehtiv finantsplaan 14-20'!C24</f>
        <v>0</v>
      </c>
      <c r="L22" s="37">
        <f>+D22-'Kehtiv finantsplaan 14-20'!D24</f>
        <v>-3407.9249999999993</v>
      </c>
      <c r="M22" s="37">
        <f>+E22-'Kehtiv finantsplaan 14-20'!E24</f>
        <v>-3993.1231249999983</v>
      </c>
      <c r="N22" s="37">
        <f>+F22-'Kehtiv finantsplaan 14-20'!F24</f>
        <v>-4092.9512031249978</v>
      </c>
      <c r="O22" s="37">
        <f>+G22-'Kehtiv finantsplaan 14-20'!G24</f>
        <v>-5695.2749832031259</v>
      </c>
      <c r="P22" s="37">
        <f>+H22-'Kehtiv finantsplaan 14-20'!H24</f>
        <v>-6795.156857783204</v>
      </c>
      <c r="R22" s="46">
        <f>+H22*1.02</f>
        <v>21968.568749999991</v>
      </c>
      <c r="S22" s="46">
        <f t="shared" si="4"/>
        <v>22407.94012499999</v>
      </c>
      <c r="T22" s="46">
        <f t="shared" si="4"/>
        <v>22856.098927499992</v>
      </c>
      <c r="U22" s="46">
        <f t="shared" si="4"/>
        <v>23313.220906049992</v>
      </c>
      <c r="V22" s="46">
        <f t="shared" si="4"/>
        <v>23779.485324170993</v>
      </c>
      <c r="W22" s="46">
        <f t="shared" si="4"/>
        <v>24255.075030654414</v>
      </c>
      <c r="X22" s="46">
        <f t="shared" si="4"/>
        <v>24740.176531267502</v>
      </c>
    </row>
    <row r="23" spans="1:24" ht="36" customHeight="1" x14ac:dyDescent="0.35">
      <c r="A23" s="1" t="s">
        <v>26</v>
      </c>
      <c r="B23" s="46">
        <v>27500</v>
      </c>
      <c r="C23" s="46">
        <v>22788.499999999996</v>
      </c>
      <c r="D23" s="46">
        <v>23000</v>
      </c>
      <c r="E23" s="46">
        <v>23000</v>
      </c>
      <c r="F23" s="46">
        <v>23574.999999999996</v>
      </c>
      <c r="G23" s="46">
        <v>24164.374999999993</v>
      </c>
      <c r="H23" s="46">
        <v>24768.484374999989</v>
      </c>
      <c r="J23" s="37">
        <f>+B23-'Kehtiv finantsplaan 14-20'!B25</f>
        <v>0</v>
      </c>
      <c r="K23" s="37">
        <f>+C23-'Kehtiv finantsplaan 14-20'!C25</f>
        <v>0</v>
      </c>
      <c r="L23" s="37">
        <f>+D23-'Kehtiv finantsplaan 14-20'!D25</f>
        <v>-5893.1874999999927</v>
      </c>
      <c r="M23" s="37">
        <f>+E23-'Kehtiv finantsplaan 14-20'!E25</f>
        <v>-6614.4921874999891</v>
      </c>
      <c r="N23" s="37">
        <f>+F23-'Kehtiv finantsplaan 14-20'!F25</f>
        <v>-6780.8544921874891</v>
      </c>
      <c r="O23" s="37">
        <f>+G23-'Kehtiv finantsplaan 14-20'!G25</f>
        <v>-9349.3508544921788</v>
      </c>
      <c r="P23" s="37">
        <f>+H23-'Kehtiv finantsplaan 14-20'!H25</f>
        <v>-10123.084625854488</v>
      </c>
      <c r="R23" s="46">
        <f>+H23*1.02</f>
        <v>25263.854062499988</v>
      </c>
      <c r="S23" s="46">
        <f t="shared" si="4"/>
        <v>25769.131143749986</v>
      </c>
      <c r="T23" s="46">
        <f t="shared" si="4"/>
        <v>26284.513766624987</v>
      </c>
      <c r="U23" s="46">
        <f t="shared" si="4"/>
        <v>26810.204041957488</v>
      </c>
      <c r="V23" s="46">
        <f t="shared" si="4"/>
        <v>27346.408122796638</v>
      </c>
      <c r="W23" s="46">
        <f t="shared" si="4"/>
        <v>27893.336285252572</v>
      </c>
      <c r="X23" s="46">
        <f t="shared" si="4"/>
        <v>28451.203010957623</v>
      </c>
    </row>
    <row r="24" spans="1:24" x14ac:dyDescent="0.35">
      <c r="A24" s="2" t="s">
        <v>140</v>
      </c>
      <c r="B24" s="46">
        <v>8629</v>
      </c>
      <c r="C24" s="46">
        <v>6844.7250000000004</v>
      </c>
      <c r="D24" s="46">
        <v>7000</v>
      </c>
      <c r="E24" s="46">
        <v>7174.9999999999991</v>
      </c>
      <c r="F24" s="46">
        <v>7354.3749999999982</v>
      </c>
      <c r="G24" s="46">
        <v>7538.2343749999973</v>
      </c>
      <c r="H24" s="46">
        <v>7726.6902343749962</v>
      </c>
      <c r="J24" s="37">
        <f>+B24-'Kehtiv finantsplaan 14-20'!B26</f>
        <v>0</v>
      </c>
      <c r="K24" s="37">
        <f>+C24-'Kehtiv finantsplaan 14-20'!C26</f>
        <v>0</v>
      </c>
      <c r="L24" s="37">
        <f>+D24-'Kehtiv finantsplaan 14-20'!D26</f>
        <v>-2065.8431249999994</v>
      </c>
      <c r="M24" s="37">
        <f>+E24-'Kehtiv finantsplaan 14-20'!E26</f>
        <v>-2117.489203125001</v>
      </c>
      <c r="N24" s="37">
        <f>+F24-'Kehtiv finantsplaan 14-20'!F26</f>
        <v>-2170.4264332031216</v>
      </c>
      <c r="O24" s="37">
        <f>+G24-'Kehtiv finantsplaan 14-20'!G26</f>
        <v>-3224.6870940332019</v>
      </c>
      <c r="P24" s="37">
        <f>+H24-'Kehtiv finantsplaan 14-20'!H26</f>
        <v>-3280.3042713840032</v>
      </c>
      <c r="R24" s="46">
        <f>+H24*1.02</f>
        <v>7881.2240390624966</v>
      </c>
      <c r="S24" s="46">
        <f t="shared" si="4"/>
        <v>8038.8485198437465</v>
      </c>
      <c r="T24" s="46">
        <f t="shared" si="4"/>
        <v>8199.6254902406217</v>
      </c>
      <c r="U24" s="46">
        <f t="shared" si="4"/>
        <v>8363.6180000454351</v>
      </c>
      <c r="V24" s="46">
        <f t="shared" si="4"/>
        <v>8530.8903600463436</v>
      </c>
      <c r="W24" s="46">
        <f t="shared" si="4"/>
        <v>8701.5081672472716</v>
      </c>
      <c r="X24" s="46">
        <f t="shared" si="4"/>
        <v>8875.5383305922169</v>
      </c>
    </row>
    <row r="25" spans="1:24" outlineLevel="1" x14ac:dyDescent="0.35">
      <c r="A25" s="101" t="s">
        <v>28</v>
      </c>
      <c r="B25" s="140">
        <v>21208.5</v>
      </c>
      <c r="C25" s="140">
        <v>21130.400000000005</v>
      </c>
      <c r="D25" s="140">
        <f>'Eesti rek'!I4*1000</f>
        <v>33029.5</v>
      </c>
      <c r="E25" s="140">
        <f>'Eesti rek'!J4*1000</f>
        <v>42737.999999999993</v>
      </c>
      <c r="F25" s="140">
        <f>'Eesti rek'!K4*1000</f>
        <v>58816.999999999985</v>
      </c>
      <c r="G25" s="140">
        <f>'Eesti rek'!L4*1000</f>
        <v>63935.999999999985</v>
      </c>
      <c r="H25" s="140">
        <f>'Eesti rek'!M4*1000</f>
        <v>57590</v>
      </c>
      <c r="J25" s="38">
        <f>+B25-'Kehtiv finantsplaan 14-20'!B27</f>
        <v>0</v>
      </c>
      <c r="K25" s="38">
        <f>+C25-'Kehtiv finantsplaan 14-20'!C27</f>
        <v>0</v>
      </c>
      <c r="L25" s="38">
        <f>+D25-'Kehtiv finantsplaan 14-20'!D27</f>
        <v>5461.2999999999993</v>
      </c>
      <c r="M25" s="38">
        <f>+E25-'Kehtiv finantsplaan 14-20'!E27</f>
        <v>12309.299999999988</v>
      </c>
      <c r="N25" s="38">
        <f>+F25-'Kehtiv finantsplaan 14-20'!F27</f>
        <v>19940.999999999985</v>
      </c>
      <c r="O25" s="38">
        <f>+G25-'Kehtiv finantsplaan 14-20'!G27</f>
        <v>25249.999999999985</v>
      </c>
      <c r="P25" s="38">
        <f>+H25-'Kehtiv finantsplaan 14-20'!H27</f>
        <v>15299</v>
      </c>
      <c r="R25" s="140">
        <f>+H25*1.02</f>
        <v>58741.8</v>
      </c>
      <c r="S25" s="140">
        <f t="shared" si="4"/>
        <v>59916.636000000006</v>
      </c>
      <c r="T25" s="140">
        <f t="shared" si="4"/>
        <v>61114.968720000004</v>
      </c>
      <c r="U25" s="140">
        <f t="shared" si="4"/>
        <v>62337.268094400002</v>
      </c>
      <c r="V25" s="140">
        <f t="shared" si="4"/>
        <v>63584.013456288005</v>
      </c>
      <c r="W25" s="140">
        <f t="shared" si="4"/>
        <v>64855.693725413767</v>
      </c>
      <c r="X25" s="140">
        <f t="shared" si="4"/>
        <v>66152.807599922045</v>
      </c>
    </row>
    <row r="26" spans="1:24" outlineLevel="1" x14ac:dyDescent="0.35">
      <c r="A26" s="101" t="s">
        <v>29</v>
      </c>
      <c r="B26" s="140">
        <v>3300</v>
      </c>
      <c r="C26" s="140">
        <v>5903.9999999999982</v>
      </c>
      <c r="D26" s="140">
        <f>('TEN-T rek'!D30-'TEN-T rek'!D31)*1000</f>
        <v>2452.5000000000005</v>
      </c>
      <c r="E26" s="140">
        <v>0</v>
      </c>
      <c r="F26" s="140">
        <v>0.15002140541862882</v>
      </c>
      <c r="G26" s="140">
        <v>0</v>
      </c>
      <c r="H26" s="140">
        <v>0</v>
      </c>
      <c r="J26" s="38">
        <f>+B26-'Kehtiv finantsplaan 14-20'!B28</f>
        <v>0</v>
      </c>
      <c r="K26" s="38">
        <f>+C26-'Kehtiv finantsplaan 14-20'!C28</f>
        <v>0</v>
      </c>
      <c r="L26" s="38">
        <f>+D26-'Kehtiv finantsplaan 14-20'!D28</f>
        <v>30.000000000000455</v>
      </c>
      <c r="M26" s="38">
        <f>+E26-'Kehtiv finantsplaan 14-20'!E28</f>
        <v>0</v>
      </c>
      <c r="N26" s="38">
        <f>+F26-'Kehtiv finantsplaan 14-20'!F28</f>
        <v>0.15002140541862882</v>
      </c>
      <c r="O26" s="38">
        <f>+G26-'Kehtiv finantsplaan 14-20'!G28</f>
        <v>0</v>
      </c>
      <c r="P26" s="38">
        <f>+H26-'Kehtiv finantsplaan 14-20'!H28</f>
        <v>0</v>
      </c>
      <c r="R26" s="140"/>
      <c r="S26" s="140"/>
      <c r="T26" s="140"/>
      <c r="U26" s="140"/>
      <c r="V26" s="140"/>
      <c r="W26" s="140"/>
      <c r="X26" s="140"/>
    </row>
    <row r="27" spans="1:24" outlineLevel="1" x14ac:dyDescent="0.35">
      <c r="A27" s="101" t="s">
        <v>30</v>
      </c>
      <c r="B27" s="140">
        <v>18700</v>
      </c>
      <c r="C27" s="140">
        <v>33455.999999999993</v>
      </c>
      <c r="D27" s="140">
        <f>'TEN-T rek'!D31*1000</f>
        <v>13897.499999999998</v>
      </c>
      <c r="E27" s="140">
        <v>0</v>
      </c>
      <c r="F27" s="140">
        <v>0</v>
      </c>
      <c r="G27" s="140">
        <v>0</v>
      </c>
      <c r="H27" s="140">
        <v>0</v>
      </c>
      <c r="I27" s="211"/>
      <c r="J27" s="38">
        <f>+B27-'Kehtiv finantsplaan 14-20'!B29</f>
        <v>0</v>
      </c>
      <c r="K27" s="38">
        <f>+C27-'Kehtiv finantsplaan 14-20'!C29</f>
        <v>0</v>
      </c>
      <c r="L27" s="38">
        <f>+D27-'Kehtiv finantsplaan 14-20'!D29</f>
        <v>169.99999999999818</v>
      </c>
      <c r="M27" s="38">
        <f>+E27-'Kehtiv finantsplaan 14-20'!E29</f>
        <v>0</v>
      </c>
      <c r="N27" s="38">
        <f>+F27-'Kehtiv finantsplaan 14-20'!F29</f>
        <v>0</v>
      </c>
      <c r="O27" s="38">
        <f>+G27-'Kehtiv finantsplaan 14-20'!G29</f>
        <v>0</v>
      </c>
      <c r="P27" s="38">
        <f>+H27-'Kehtiv finantsplaan 14-20'!H29</f>
        <v>0</v>
      </c>
      <c r="R27" s="140"/>
      <c r="S27" s="140"/>
      <c r="T27" s="140"/>
      <c r="U27" s="140"/>
      <c r="V27" s="140"/>
      <c r="W27" s="140"/>
      <c r="X27" s="140"/>
    </row>
    <row r="28" spans="1:24" ht="20.5" customHeight="1" thickBot="1" x14ac:dyDescent="0.4">
      <c r="A28" s="30" t="s">
        <v>31</v>
      </c>
      <c r="B28" s="46">
        <f t="shared" ref="B28:H28" si="5">+SUM(B25:B27)</f>
        <v>43208.5</v>
      </c>
      <c r="C28" s="46">
        <f t="shared" si="5"/>
        <v>60490.399999999994</v>
      </c>
      <c r="D28" s="46">
        <f t="shared" si="5"/>
        <v>49379.5</v>
      </c>
      <c r="E28" s="46">
        <f t="shared" si="5"/>
        <v>42737.999999999993</v>
      </c>
      <c r="F28" s="46">
        <f t="shared" si="5"/>
        <v>58817.150021405403</v>
      </c>
      <c r="G28" s="46">
        <f t="shared" si="5"/>
        <v>63935.999999999985</v>
      </c>
      <c r="H28" s="46">
        <f t="shared" si="5"/>
        <v>57590</v>
      </c>
      <c r="I28" s="211"/>
      <c r="J28" s="37">
        <f>+B28-'Kehtiv finantsplaan 14-20'!B30</f>
        <v>0</v>
      </c>
      <c r="K28" s="37">
        <f>+C28-'Kehtiv finantsplaan 14-20'!C30</f>
        <v>0</v>
      </c>
      <c r="L28" s="37">
        <f>+D28-'Kehtiv finantsplaan 14-20'!D30</f>
        <v>5661.3000000000029</v>
      </c>
      <c r="M28" s="37">
        <f>+E28-'Kehtiv finantsplaan 14-20'!E30</f>
        <v>12309.299999999988</v>
      </c>
      <c r="N28" s="37">
        <f>+F28-'Kehtiv finantsplaan 14-20'!F30</f>
        <v>19941.150021405403</v>
      </c>
      <c r="O28" s="37">
        <f>+G28-'Kehtiv finantsplaan 14-20'!G30</f>
        <v>19649.999999999985</v>
      </c>
      <c r="P28" s="37">
        <f>+H28-'Kehtiv finantsplaan 14-20'!H30</f>
        <v>-2755</v>
      </c>
      <c r="Q28" s="211"/>
      <c r="R28" s="46">
        <f t="shared" ref="R28:X28" si="6">+SUM(R25:R27)</f>
        <v>58741.8</v>
      </c>
      <c r="S28" s="46">
        <f t="shared" si="6"/>
        <v>59916.636000000006</v>
      </c>
      <c r="T28" s="46">
        <f t="shared" si="6"/>
        <v>61114.968720000004</v>
      </c>
      <c r="U28" s="46">
        <f t="shared" si="6"/>
        <v>62337.268094400002</v>
      </c>
      <c r="V28" s="46">
        <f t="shared" si="6"/>
        <v>63584.013456288005</v>
      </c>
      <c r="W28" s="46">
        <f t="shared" si="6"/>
        <v>64855.693725413767</v>
      </c>
      <c r="X28" s="46">
        <f t="shared" si="6"/>
        <v>66152.807599922045</v>
      </c>
    </row>
    <row r="29" spans="1:24" ht="15" thickBot="1" x14ac:dyDescent="0.4">
      <c r="A29" s="102" t="s">
        <v>32</v>
      </c>
      <c r="B29" s="103">
        <f t="shared" ref="B29:H29" si="7">+B28+B24+B23+B22+B21+B20</f>
        <v>156373.5</v>
      </c>
      <c r="C29" s="103">
        <f t="shared" si="7"/>
        <v>165676.04176117649</v>
      </c>
      <c r="D29" s="103">
        <f t="shared" si="7"/>
        <v>156495.5</v>
      </c>
      <c r="E29" s="103">
        <f t="shared" si="7"/>
        <v>149494.69</v>
      </c>
      <c r="F29" s="103">
        <f t="shared" si="7"/>
        <v>168270.5250214054</v>
      </c>
      <c r="G29" s="103">
        <f t="shared" si="7"/>
        <v>175653.10937499997</v>
      </c>
      <c r="H29" s="103">
        <f t="shared" si="7"/>
        <v>172162.98710937498</v>
      </c>
      <c r="I29" s="211"/>
      <c r="J29" s="43">
        <f>+B29-'Kehtiv finantsplaan 14-20'!B31</f>
        <v>0</v>
      </c>
      <c r="K29" s="43">
        <f>+C29-'Kehtiv finantsplaan 14-20'!C31</f>
        <v>0</v>
      </c>
      <c r="L29" s="43">
        <f>+D29-'Kehtiv finantsplaan 14-20'!D31</f>
        <v>-8705.5181249999732</v>
      </c>
      <c r="M29" s="43">
        <f>+E29-'Kehtiv finantsplaan 14-20'!E31</f>
        <v>-7580.2985781249881</v>
      </c>
      <c r="N29" s="43">
        <f>+F29-'Kehtiv finantsplaan 14-20'!F31</f>
        <v>-411.64577117268345</v>
      </c>
      <c r="O29" s="43">
        <f>+G29-'Kehtiv finantsplaan 14-20'!G31</f>
        <v>-6575.4156873925822</v>
      </c>
      <c r="P29" s="43">
        <f>+H29-'Kehtiv finantsplaan 14-20'!H31</f>
        <v>-31038.451079577353</v>
      </c>
      <c r="Q29" s="211"/>
      <c r="R29" s="103">
        <f t="shared" ref="R29:X29" si="8">+R28+R24+R23+R22+R21+R20</f>
        <v>177146.64685156249</v>
      </c>
      <c r="S29" s="103">
        <f t="shared" si="8"/>
        <v>180958.57978859375</v>
      </c>
      <c r="T29" s="103">
        <f t="shared" si="8"/>
        <v>184854.75138436558</v>
      </c>
      <c r="U29" s="103">
        <f t="shared" si="8"/>
        <v>188835.77141205291</v>
      </c>
      <c r="V29" s="103">
        <f t="shared" si="8"/>
        <v>192903.50996529395</v>
      </c>
      <c r="W29" s="103">
        <f t="shared" si="8"/>
        <v>197059.87886772482</v>
      </c>
      <c r="X29" s="103">
        <f t="shared" si="8"/>
        <v>201306.83261578245</v>
      </c>
    </row>
    <row r="30" spans="1:24" x14ac:dyDescent="0.35">
      <c r="A30" s="102"/>
      <c r="B30" s="104">
        <f t="shared" ref="B30:H30" si="9">+B29/B47</f>
        <v>0.65680383900538675</v>
      </c>
      <c r="C30" s="104">
        <f t="shared" si="9"/>
        <v>0.68592041724805419</v>
      </c>
      <c r="D30" s="104">
        <f t="shared" si="9"/>
        <v>0.64382761379928866</v>
      </c>
      <c r="E30" s="104">
        <f t="shared" si="9"/>
        <v>0.57952171207726222</v>
      </c>
      <c r="F30" s="104">
        <f t="shared" si="9"/>
        <v>0.60206797201152229</v>
      </c>
      <c r="G30" s="104">
        <f t="shared" si="9"/>
        <v>0.71117968580946889</v>
      </c>
      <c r="H30" s="104">
        <f t="shared" si="9"/>
        <v>0.59440782643550427</v>
      </c>
      <c r="I30" s="211"/>
      <c r="J30" s="44"/>
      <c r="K30" s="44"/>
      <c r="L30" s="44"/>
      <c r="M30" s="44"/>
      <c r="N30" s="44"/>
      <c r="O30" s="44"/>
      <c r="P30" s="44"/>
      <c r="Q30" s="211"/>
      <c r="R30" s="104">
        <f t="shared" ref="R30:X30" si="10">+R29/R47</f>
        <v>0.58411245170593717</v>
      </c>
      <c r="S30" s="104">
        <f t="shared" si="10"/>
        <v>0.58161838597418536</v>
      </c>
      <c r="T30" s="104">
        <f t="shared" si="10"/>
        <v>0.57038269702884981</v>
      </c>
      <c r="U30" s="104">
        <f t="shared" si="10"/>
        <v>0.66455270959575974</v>
      </c>
      <c r="V30" s="104">
        <f t="shared" si="10"/>
        <v>0.66672762292586485</v>
      </c>
      <c r="W30" s="104">
        <f t="shared" si="10"/>
        <v>0.6688755096259057</v>
      </c>
      <c r="X30" s="104">
        <f t="shared" si="10"/>
        <v>0.68236894431973683</v>
      </c>
    </row>
    <row r="31" spans="1:24" ht="16.899999999999999" customHeight="1" x14ac:dyDescent="0.35">
      <c r="A31" s="105" t="s">
        <v>33</v>
      </c>
      <c r="B31" s="46">
        <v>5000</v>
      </c>
      <c r="C31" s="46">
        <v>5000</v>
      </c>
      <c r="D31" s="46">
        <v>4500</v>
      </c>
      <c r="E31" s="46">
        <v>4612.5</v>
      </c>
      <c r="F31" s="46">
        <v>4727.8125</v>
      </c>
      <c r="G31" s="46">
        <v>4846.0078125</v>
      </c>
      <c r="H31" s="46">
        <v>4967.1580078124998</v>
      </c>
      <c r="I31" s="211"/>
      <c r="J31" s="37">
        <f>+B31-'Kehtiv finantsplaan 14-20'!B33</f>
        <v>0</v>
      </c>
      <c r="K31" s="37">
        <f>+C31-'Kehtiv finantsplaan 14-20'!C33</f>
        <v>0</v>
      </c>
      <c r="L31" s="37">
        <f>+D31-'Kehtiv finantsplaan 14-20'!D33</f>
        <v>-2000</v>
      </c>
      <c r="M31" s="37">
        <f>+E31-'Kehtiv finantsplaan 14-20'!E33</f>
        <v>-1387.5</v>
      </c>
      <c r="N31" s="37">
        <f>+F31-'Kehtiv finantsplaan 14-20'!F33</f>
        <v>-1522.1875</v>
      </c>
      <c r="O31" s="37">
        <f>+G31-'Kehtiv finantsplaan 14-20'!G33</f>
        <v>-3153.9921875</v>
      </c>
      <c r="P31" s="37">
        <f>+H31-'Kehtiv finantsplaan 14-20'!H33</f>
        <v>-4032.8419921875002</v>
      </c>
      <c r="Q31" s="211"/>
      <c r="R31" s="46">
        <f>+H31*1.02</f>
        <v>5066.5011679687495</v>
      </c>
      <c r="S31" s="46">
        <f t="shared" ref="S31:X34" si="11">+R31*1.02</f>
        <v>5167.831191328125</v>
      </c>
      <c r="T31" s="46">
        <f t="shared" si="11"/>
        <v>5271.187815154688</v>
      </c>
      <c r="U31" s="46">
        <f t="shared" si="11"/>
        <v>5376.6115714577818</v>
      </c>
      <c r="V31" s="46">
        <f t="shared" si="11"/>
        <v>5484.1438028869379</v>
      </c>
      <c r="W31" s="46">
        <f t="shared" si="11"/>
        <v>5593.826678944677</v>
      </c>
      <c r="X31" s="46">
        <f t="shared" si="11"/>
        <v>5705.703212523571</v>
      </c>
    </row>
    <row r="32" spans="1:24" ht="16.899999999999999" customHeight="1" x14ac:dyDescent="0.35">
      <c r="A32" s="2" t="s">
        <v>34</v>
      </c>
      <c r="B32" s="46">
        <v>500</v>
      </c>
      <c r="C32" s="46">
        <v>500</v>
      </c>
      <c r="D32" s="46">
        <v>1000</v>
      </c>
      <c r="E32" s="46">
        <v>735</v>
      </c>
      <c r="F32" s="46">
        <v>500.25</v>
      </c>
      <c r="G32" s="46">
        <v>500.25</v>
      </c>
      <c r="H32" s="46">
        <v>500.25</v>
      </c>
      <c r="I32" s="211"/>
      <c r="J32" s="37">
        <f>+B32-'Kehtiv finantsplaan 14-20'!B34</f>
        <v>0</v>
      </c>
      <c r="K32" s="37">
        <f>+C32-'Kehtiv finantsplaan 14-20'!C34</f>
        <v>0</v>
      </c>
      <c r="L32" s="37">
        <f>+D32-'Kehtiv finantsplaan 14-20'!D34</f>
        <v>0</v>
      </c>
      <c r="M32" s="37">
        <f>+E32-'Kehtiv finantsplaan 14-20'!E34</f>
        <v>0</v>
      </c>
      <c r="N32" s="37">
        <f>+F32-'Kehtiv finantsplaan 14-20'!F34</f>
        <v>0</v>
      </c>
      <c r="O32" s="37">
        <f>+G32-'Kehtiv finantsplaan 14-20'!G34</f>
        <v>-1653.53125</v>
      </c>
      <c r="P32" s="37">
        <f>+H32-'Kehtiv finantsplaan 14-20'!H34</f>
        <v>-1707.3757812499998</v>
      </c>
      <c r="Q32" s="211"/>
      <c r="R32" s="46">
        <f>+H32*1.02</f>
        <v>510.255</v>
      </c>
      <c r="S32" s="46">
        <f t="shared" si="11"/>
        <v>520.46010000000001</v>
      </c>
      <c r="T32" s="46">
        <f t="shared" si="11"/>
        <v>530.86930200000006</v>
      </c>
      <c r="U32" s="46">
        <f t="shared" si="11"/>
        <v>541.4866880400001</v>
      </c>
      <c r="V32" s="46">
        <f t="shared" si="11"/>
        <v>552.31642180080007</v>
      </c>
      <c r="W32" s="46">
        <f t="shared" si="11"/>
        <v>563.36275023681605</v>
      </c>
      <c r="X32" s="46">
        <f t="shared" si="11"/>
        <v>574.63000524155234</v>
      </c>
    </row>
    <row r="33" spans="1:24" ht="23.5" customHeight="1" x14ac:dyDescent="0.35">
      <c r="A33" s="2" t="s">
        <v>35</v>
      </c>
      <c r="B33" s="46">
        <v>7000</v>
      </c>
      <c r="C33" s="46">
        <v>5000</v>
      </c>
      <c r="D33" s="46">
        <v>9550</v>
      </c>
      <c r="E33" s="46">
        <v>9000</v>
      </c>
      <c r="F33" s="46">
        <v>9000</v>
      </c>
      <c r="G33" s="46">
        <v>9000</v>
      </c>
      <c r="H33" s="46">
        <v>9000</v>
      </c>
      <c r="I33" s="211"/>
      <c r="J33" s="37">
        <f>+B33-'Kehtiv finantsplaan 14-20'!B35</f>
        <v>0</v>
      </c>
      <c r="K33" s="37">
        <f>+C33-'Kehtiv finantsplaan 14-20'!C35</f>
        <v>0</v>
      </c>
      <c r="L33" s="37">
        <f>+D33-'Kehtiv finantsplaan 14-20'!D35</f>
        <v>1850</v>
      </c>
      <c r="M33" s="37">
        <f>+E33-'Kehtiv finantsplaan 14-20'!E35</f>
        <v>1450</v>
      </c>
      <c r="N33" s="37">
        <f>+F33-'Kehtiv finantsplaan 14-20'!F35</f>
        <v>3379.875</v>
      </c>
      <c r="O33" s="37">
        <f>+G33-'Kehtiv finantsplaan 14-20'!G35</f>
        <v>169.49687500000073</v>
      </c>
      <c r="P33" s="37">
        <f>+H33-'Kehtiv finantsplaan 14-20'!H35</f>
        <v>-52.265703124998254</v>
      </c>
      <c r="Q33" s="211"/>
      <c r="R33" s="46">
        <f>+H33*1.02</f>
        <v>9180</v>
      </c>
      <c r="S33" s="46">
        <f t="shared" si="11"/>
        <v>9363.6</v>
      </c>
      <c r="T33" s="46">
        <f t="shared" si="11"/>
        <v>9550.8720000000012</v>
      </c>
      <c r="U33" s="46">
        <f t="shared" si="11"/>
        <v>9741.8894400000008</v>
      </c>
      <c r="V33" s="46">
        <f t="shared" si="11"/>
        <v>9936.7272288000004</v>
      </c>
      <c r="W33" s="46">
        <f t="shared" si="11"/>
        <v>10135.461773376001</v>
      </c>
      <c r="X33" s="46">
        <f t="shared" si="11"/>
        <v>10338.171008843521</v>
      </c>
    </row>
    <row r="34" spans="1:24" ht="28.15" customHeight="1" x14ac:dyDescent="0.35">
      <c r="A34" s="30" t="s">
        <v>36</v>
      </c>
      <c r="B34" s="46">
        <v>4000</v>
      </c>
      <c r="C34" s="46">
        <v>3000</v>
      </c>
      <c r="D34" s="46">
        <v>10771</v>
      </c>
      <c r="E34" s="46">
        <v>9345</v>
      </c>
      <c r="F34" s="46">
        <v>10000</v>
      </c>
      <c r="G34" s="46">
        <v>10000</v>
      </c>
      <c r="H34" s="46">
        <v>10000</v>
      </c>
      <c r="I34" s="211"/>
      <c r="J34" s="198">
        <f>+B34-'Kehtiv finantsplaan 14-20'!B36</f>
        <v>0</v>
      </c>
      <c r="K34" s="198">
        <f>+C34-'Kehtiv finantsplaan 14-20'!C36</f>
        <v>0</v>
      </c>
      <c r="L34" s="198">
        <f>+D34-'Kehtiv finantsplaan 14-20'!D36</f>
        <v>-8.3238823528517969E-2</v>
      </c>
      <c r="M34" s="198">
        <f>+E34-'Kehtiv finantsplaan 14-20'!E36</f>
        <v>0</v>
      </c>
      <c r="N34" s="198">
        <f>+F34-'Kehtiv finantsplaan 14-20'!F36</f>
        <v>-6772</v>
      </c>
      <c r="O34" s="198">
        <f>+G34-'Kehtiv finantsplaan 14-20'!G36</f>
        <v>-6581</v>
      </c>
      <c r="P34" s="198">
        <f>+H34-'Kehtiv finantsplaan 14-20'!H36</f>
        <v>-7049</v>
      </c>
      <c r="Q34" s="211"/>
      <c r="R34" s="46">
        <f>+H34*1.02</f>
        <v>10200</v>
      </c>
      <c r="S34" s="46">
        <f t="shared" si="11"/>
        <v>10404</v>
      </c>
      <c r="T34" s="46">
        <f t="shared" si="11"/>
        <v>10612.08</v>
      </c>
      <c r="U34" s="46">
        <f t="shared" si="11"/>
        <v>10824.321599999999</v>
      </c>
      <c r="V34" s="46">
        <f t="shared" si="11"/>
        <v>11040.808031999999</v>
      </c>
      <c r="W34" s="46">
        <f t="shared" si="11"/>
        <v>11261.62419264</v>
      </c>
      <c r="X34" s="46">
        <f t="shared" si="11"/>
        <v>11486.8566764928</v>
      </c>
    </row>
    <row r="35" spans="1:24" ht="19.899999999999999" customHeight="1" outlineLevel="1" x14ac:dyDescent="0.35">
      <c r="A35" s="101" t="s">
        <v>28</v>
      </c>
      <c r="B35" s="140">
        <v>12000</v>
      </c>
      <c r="C35" s="140">
        <v>2000</v>
      </c>
      <c r="D35" s="140">
        <f>+('TEN-T Ehitus'!D20+'TEN-T Ehitus'!D41)*1000</f>
        <v>11561</v>
      </c>
      <c r="E35" s="140">
        <f>+'TEN-T Ehitus'!E41*1000</f>
        <v>2923</v>
      </c>
      <c r="F35" s="140">
        <v>0</v>
      </c>
      <c r="G35" s="140">
        <v>0</v>
      </c>
      <c r="H35" s="140">
        <f>+'TEN-T Ehitus'!H45*1000</f>
        <v>24368.7</v>
      </c>
      <c r="I35" s="211"/>
      <c r="J35" s="38">
        <f>+B35-'Kehtiv finantsplaan 14-20'!B37</f>
        <v>0</v>
      </c>
      <c r="K35" s="38">
        <f>+C35-'Kehtiv finantsplaan 14-20'!C37</f>
        <v>0</v>
      </c>
      <c r="L35" s="38">
        <f>+D35-'Kehtiv finantsplaan 14-20'!D37</f>
        <v>5561</v>
      </c>
      <c r="M35" s="38">
        <f>+E35-'Kehtiv finantsplaan 14-20'!E37</f>
        <v>2923</v>
      </c>
      <c r="N35" s="38">
        <f>+F35-'Kehtiv finantsplaan 14-20'!F37</f>
        <v>0</v>
      </c>
      <c r="O35" s="38">
        <f>+G35-'Kehtiv finantsplaan 14-20'!G37</f>
        <v>0</v>
      </c>
      <c r="P35" s="38">
        <f>+H35-'Kehtiv finantsplaan 14-20'!H37</f>
        <v>24368.7</v>
      </c>
      <c r="Q35" s="211"/>
      <c r="R35" s="140">
        <f>+('Objektid 2018-30'!E39-'Objektid 2018-30'!E12)*1000</f>
        <v>34000</v>
      </c>
      <c r="S35" s="140">
        <f>+('Objektid 2018-30'!F39-'Objektid 2018-30'!F12)*1000</f>
        <v>37000</v>
      </c>
      <c r="T35" s="140">
        <f>+('Objektid 2018-30'!G39-'Objektid 2018-30'!G12)*1000</f>
        <v>45000</v>
      </c>
      <c r="U35" s="140">
        <f>+('Objektid 2018-30'!H39-'Objektid 2018-30'!H12)*1000</f>
        <v>40000</v>
      </c>
      <c r="V35" s="140">
        <f>+('Objektid 2018-30'!I39-'Objektid 2018-30'!I12)*1000</f>
        <v>40000</v>
      </c>
      <c r="W35" s="140">
        <f>+('Objektid 2018-30'!J39-'Objektid 2018-30'!J12)*1000</f>
        <v>40000</v>
      </c>
      <c r="X35" s="140">
        <f>+('Objektid 2018-30'!K39-'Objektid 2018-30'!K12)*1000</f>
        <v>35000</v>
      </c>
    </row>
    <row r="36" spans="1:24" ht="18.649999999999999" customHeight="1" outlineLevel="1" x14ac:dyDescent="0.35">
      <c r="A36" s="101" t="s">
        <v>37</v>
      </c>
      <c r="B36" s="140">
        <v>1500</v>
      </c>
      <c r="C36" s="140">
        <v>5911.8940152941195</v>
      </c>
      <c r="D36" s="140">
        <v>3675</v>
      </c>
      <c r="E36" s="140">
        <v>8475</v>
      </c>
      <c r="F36" s="140">
        <v>9150</v>
      </c>
      <c r="G36" s="140">
        <v>1650</v>
      </c>
      <c r="H36" s="140">
        <v>0</v>
      </c>
      <c r="I36" s="211"/>
      <c r="J36" s="38">
        <f>+B36-'Kehtiv finantsplaan 14-20'!B38</f>
        <v>0</v>
      </c>
      <c r="K36" s="38">
        <f>+C36-'Kehtiv finantsplaan 14-20'!C38</f>
        <v>0</v>
      </c>
      <c r="L36" s="38">
        <f>+D36-'Kehtiv finantsplaan 14-20'!D38</f>
        <v>397.5</v>
      </c>
      <c r="M36" s="38">
        <f>+E36-'Kehtiv finantsplaan 14-20'!E38</f>
        <v>2475</v>
      </c>
      <c r="N36" s="38">
        <f>+F36-'Kehtiv finantsplaan 14-20'!F38</f>
        <v>3150</v>
      </c>
      <c r="O36" s="38">
        <f>+G36-'Kehtiv finantsplaan 14-20'!G38</f>
        <v>-1800</v>
      </c>
      <c r="P36" s="38">
        <f>+H36-'Kehtiv finantsplaan 14-20'!H38</f>
        <v>0</v>
      </c>
      <c r="Q36" s="211"/>
      <c r="R36" s="140">
        <f>+H36*1.02</f>
        <v>0</v>
      </c>
      <c r="S36" s="140">
        <f t="shared" ref="S36:X38" si="12">+R36*1.02</f>
        <v>0</v>
      </c>
      <c r="T36" s="140">
        <f t="shared" si="12"/>
        <v>0</v>
      </c>
      <c r="U36" s="140">
        <f t="shared" si="12"/>
        <v>0</v>
      </c>
      <c r="V36" s="140">
        <f t="shared" si="12"/>
        <v>0</v>
      </c>
      <c r="W36" s="140">
        <f t="shared" si="12"/>
        <v>0</v>
      </c>
      <c r="X36" s="140">
        <f t="shared" si="12"/>
        <v>0</v>
      </c>
    </row>
    <row r="37" spans="1:24" ht="19.5" customHeight="1" outlineLevel="1" x14ac:dyDescent="0.35">
      <c r="A37" s="101" t="s">
        <v>38</v>
      </c>
      <c r="B37" s="140">
        <v>8500</v>
      </c>
      <c r="C37" s="140">
        <v>15268.884930000007</v>
      </c>
      <c r="D37" s="140">
        <v>20825</v>
      </c>
      <c r="E37" s="140">
        <v>48025</v>
      </c>
      <c r="F37" s="140">
        <v>51850</v>
      </c>
      <c r="G37" s="140">
        <v>9350</v>
      </c>
      <c r="H37" s="140">
        <v>0</v>
      </c>
      <c r="I37" s="211"/>
      <c r="J37" s="38">
        <f>+B37-'Kehtiv finantsplaan 14-20'!B39</f>
        <v>0</v>
      </c>
      <c r="K37" s="38">
        <f>+C37-'Kehtiv finantsplaan 14-20'!C39</f>
        <v>0</v>
      </c>
      <c r="L37" s="38">
        <f>+D37-'Kehtiv finantsplaan 14-20'!D39</f>
        <v>2252.5</v>
      </c>
      <c r="M37" s="38">
        <f>+E37-'Kehtiv finantsplaan 14-20'!E39</f>
        <v>14025</v>
      </c>
      <c r="N37" s="38">
        <f>+F37-'Kehtiv finantsplaan 14-20'!F39</f>
        <v>17850</v>
      </c>
      <c r="O37" s="38">
        <f>+G37-'Kehtiv finantsplaan 14-20'!G39</f>
        <v>-10200</v>
      </c>
      <c r="P37" s="38">
        <f>+H37-'Kehtiv finantsplaan 14-20'!H39</f>
        <v>0</v>
      </c>
      <c r="Q37" s="211"/>
      <c r="R37" s="140">
        <f>+H37*1.02</f>
        <v>0</v>
      </c>
      <c r="S37" s="140">
        <f t="shared" si="12"/>
        <v>0</v>
      </c>
      <c r="T37" s="140">
        <f t="shared" si="12"/>
        <v>0</v>
      </c>
      <c r="U37" s="140">
        <f t="shared" si="12"/>
        <v>0</v>
      </c>
      <c r="V37" s="140">
        <f t="shared" si="12"/>
        <v>0</v>
      </c>
      <c r="W37" s="140">
        <f t="shared" si="12"/>
        <v>0</v>
      </c>
      <c r="X37" s="140">
        <f t="shared" si="12"/>
        <v>0</v>
      </c>
    </row>
    <row r="38" spans="1:24" ht="19" customHeight="1" outlineLevel="1" x14ac:dyDescent="0.35">
      <c r="A38" s="101" t="s">
        <v>39</v>
      </c>
      <c r="B38" s="140">
        <v>21635</v>
      </c>
      <c r="C38" s="140">
        <v>17068.11507</v>
      </c>
      <c r="D38" s="140">
        <v>0</v>
      </c>
      <c r="E38" s="140">
        <v>0</v>
      </c>
      <c r="F38" s="140">
        <v>0</v>
      </c>
      <c r="G38" s="140">
        <v>0</v>
      </c>
      <c r="H38" s="140">
        <v>0</v>
      </c>
      <c r="I38" s="211"/>
      <c r="J38" s="38">
        <f>+B38-'Kehtiv finantsplaan 14-20'!B40</f>
        <v>0</v>
      </c>
      <c r="K38" s="38">
        <f>+C38-'Kehtiv finantsplaan 14-20'!C40</f>
        <v>0</v>
      </c>
      <c r="L38" s="38">
        <f>+D38-'Kehtiv finantsplaan 14-20'!D40</f>
        <v>0</v>
      </c>
      <c r="M38" s="38">
        <f>+E38-'Kehtiv finantsplaan 14-20'!E40</f>
        <v>0</v>
      </c>
      <c r="N38" s="38">
        <f>+F38-'Kehtiv finantsplaan 14-20'!F40</f>
        <v>0</v>
      </c>
      <c r="O38" s="38">
        <f>+G38-'Kehtiv finantsplaan 14-20'!G40</f>
        <v>0</v>
      </c>
      <c r="P38" s="38">
        <f>+H38-'Kehtiv finantsplaan 14-20'!H40</f>
        <v>0</v>
      </c>
      <c r="Q38" s="211"/>
      <c r="R38" s="140">
        <f>+H38*1.02</f>
        <v>0</v>
      </c>
      <c r="S38" s="140">
        <f t="shared" si="12"/>
        <v>0</v>
      </c>
      <c r="T38" s="140">
        <f t="shared" si="12"/>
        <v>0</v>
      </c>
      <c r="U38" s="140">
        <f t="shared" si="12"/>
        <v>0</v>
      </c>
      <c r="V38" s="140">
        <f t="shared" si="12"/>
        <v>0</v>
      </c>
      <c r="W38" s="140">
        <f t="shared" si="12"/>
        <v>0</v>
      </c>
      <c r="X38" s="140">
        <f t="shared" si="12"/>
        <v>0</v>
      </c>
    </row>
    <row r="39" spans="1:24" ht="29.25" customHeight="1" x14ac:dyDescent="0.35">
      <c r="A39" s="30" t="s">
        <v>40</v>
      </c>
      <c r="B39" s="46">
        <f t="shared" ref="B39:H39" si="13">SUM(B35:B38)</f>
        <v>43635</v>
      </c>
      <c r="C39" s="46">
        <f t="shared" si="13"/>
        <v>40248.894015294129</v>
      </c>
      <c r="D39" s="46">
        <f t="shared" si="13"/>
        <v>36061</v>
      </c>
      <c r="E39" s="46">
        <f t="shared" si="13"/>
        <v>59423</v>
      </c>
      <c r="F39" s="46">
        <f t="shared" si="13"/>
        <v>61000</v>
      </c>
      <c r="G39" s="46">
        <f t="shared" si="13"/>
        <v>11000</v>
      </c>
      <c r="H39" s="46">
        <f t="shared" si="13"/>
        <v>24368.7</v>
      </c>
      <c r="J39" s="37">
        <f>+B39-'Kehtiv finantsplaan 14-20'!B41</f>
        <v>0</v>
      </c>
      <c r="K39" s="37">
        <f>+C39-'Kehtiv finantsplaan 14-20'!C41</f>
        <v>0</v>
      </c>
      <c r="L39" s="37">
        <f>+D39-'Kehtiv finantsplaan 14-20'!D41</f>
        <v>8211</v>
      </c>
      <c r="M39" s="37">
        <f>+E39-'Kehtiv finantsplaan 14-20'!E41</f>
        <v>19423</v>
      </c>
      <c r="N39" s="37">
        <f>+F39-'Kehtiv finantsplaan 14-20'!F41</f>
        <v>21000</v>
      </c>
      <c r="O39" s="37">
        <f>+G39-'Kehtiv finantsplaan 14-20'!G41</f>
        <v>-12000</v>
      </c>
      <c r="P39" s="37">
        <f>+H39-'Kehtiv finantsplaan 14-20'!H41</f>
        <v>24368.7</v>
      </c>
      <c r="R39" s="46">
        <f t="shared" ref="R39:X39" si="14">SUM(R35:R38)</f>
        <v>34000</v>
      </c>
      <c r="S39" s="46">
        <f t="shared" si="14"/>
        <v>37000</v>
      </c>
      <c r="T39" s="46">
        <f t="shared" si="14"/>
        <v>45000</v>
      </c>
      <c r="U39" s="46">
        <f t="shared" si="14"/>
        <v>40000</v>
      </c>
      <c r="V39" s="46">
        <f t="shared" si="14"/>
        <v>40000</v>
      </c>
      <c r="W39" s="46">
        <f t="shared" si="14"/>
        <v>40000</v>
      </c>
      <c r="X39" s="46">
        <f t="shared" si="14"/>
        <v>35000</v>
      </c>
    </row>
    <row r="40" spans="1:24" s="52" customFormat="1" ht="28" customHeight="1" x14ac:dyDescent="0.35">
      <c r="A40" s="197" t="s">
        <v>41</v>
      </c>
      <c r="B40" s="208">
        <v>0</v>
      </c>
      <c r="C40" s="208">
        <v>0</v>
      </c>
      <c r="D40" s="208">
        <v>0</v>
      </c>
      <c r="E40" s="208">
        <v>0</v>
      </c>
      <c r="F40" s="208">
        <v>0</v>
      </c>
      <c r="G40" s="208">
        <f>1000*'Objektid 2018-30'!C12</f>
        <v>10000</v>
      </c>
      <c r="H40" s="208">
        <f>1000*'Objektid 2018-30'!D12</f>
        <v>40000</v>
      </c>
      <c r="I40" s="209"/>
      <c r="J40" s="210">
        <f>+B40-'Kehtiv finantsplaan 14-20'!B42</f>
        <v>0</v>
      </c>
      <c r="K40" s="210">
        <f>+C40-'Kehtiv finantsplaan 14-20'!C42</f>
        <v>0</v>
      </c>
      <c r="L40" s="210">
        <f>+D40-'Kehtiv finantsplaan 14-20'!D42</f>
        <v>-30000</v>
      </c>
      <c r="M40" s="210">
        <f>+E40-'Kehtiv finantsplaan 14-20'!E42</f>
        <v>-40000</v>
      </c>
      <c r="N40" s="210">
        <f>+F40-'Kehtiv finantsplaan 14-20'!F42</f>
        <v>-40000</v>
      </c>
      <c r="O40" s="210">
        <f>+G40-'Kehtiv finantsplaan 14-20'!G42</f>
        <v>-40000</v>
      </c>
      <c r="P40" s="210">
        <f>+H40-'Kehtiv finantsplaan 14-20'!H42</f>
        <v>-10000</v>
      </c>
      <c r="Q40" s="209"/>
      <c r="R40" s="208">
        <f>1000*'Objektid 2018-30'!E12</f>
        <v>40000</v>
      </c>
      <c r="S40" s="208">
        <f>1000*'Objektid 2018-30'!F12</f>
        <v>40000</v>
      </c>
      <c r="T40" s="208">
        <f>1000*'Objektid 2018-30'!G12</f>
        <v>40000</v>
      </c>
      <c r="U40" s="208">
        <v>0</v>
      </c>
      <c r="V40" s="208">
        <v>0</v>
      </c>
      <c r="W40" s="208">
        <v>0</v>
      </c>
      <c r="X40" s="208">
        <v>0</v>
      </c>
    </row>
    <row r="41" spans="1:24" s="110" customFormat="1" ht="19" customHeight="1" x14ac:dyDescent="0.35">
      <c r="A41" s="197" t="s">
        <v>342</v>
      </c>
      <c r="B41" s="208"/>
      <c r="C41" s="208"/>
      <c r="D41" s="208"/>
      <c r="E41" s="208"/>
      <c r="F41" s="208">
        <f>'Objektid 2018-30'!B39*1000</f>
        <v>0</v>
      </c>
      <c r="G41" s="208">
        <f>'Objektid 2018-30'!C39*1000-G40</f>
        <v>0</v>
      </c>
      <c r="H41" s="208">
        <f>'Objektid 2018-30'!D39*1000-H40</f>
        <v>2000</v>
      </c>
      <c r="I41" s="209"/>
      <c r="J41" s="210"/>
      <c r="K41" s="210"/>
      <c r="L41" s="210"/>
      <c r="M41" s="210"/>
      <c r="N41" s="210"/>
      <c r="O41" s="210"/>
      <c r="P41" s="210"/>
      <c r="Q41" s="209"/>
      <c r="R41" s="208"/>
      <c r="S41" s="208"/>
      <c r="T41" s="208"/>
      <c r="U41" s="208"/>
      <c r="V41" s="208"/>
      <c r="W41" s="208"/>
      <c r="X41" s="208"/>
    </row>
    <row r="42" spans="1:24" ht="23.15" customHeight="1" thickBot="1" x14ac:dyDescent="0.4">
      <c r="A42" s="106" t="s">
        <v>42</v>
      </c>
      <c r="B42" s="103">
        <f>+B40+B39+B34+B33+B32+B31</f>
        <v>60135</v>
      </c>
      <c r="C42" s="103">
        <f>+C40+C39+C34+C33+C32+C31</f>
        <v>53748.894015294129</v>
      </c>
      <c r="D42" s="103">
        <f>+D40+D39+D34+D33+D32+D31</f>
        <v>61882</v>
      </c>
      <c r="E42" s="103">
        <f>+E40+E39+E34+E33+E32+E31</f>
        <v>83115.5</v>
      </c>
      <c r="F42" s="103">
        <f>+F40+F39+F34+F33+F32+F31+F41</f>
        <v>85228.0625</v>
      </c>
      <c r="G42" s="103">
        <f>+G40+G39+G34+G33+G32+G31+G41</f>
        <v>45346.2578125</v>
      </c>
      <c r="H42" s="103">
        <f>+H40+H39+H34+H33+H32+H31+H41</f>
        <v>90836.108007812494</v>
      </c>
      <c r="J42" s="31">
        <f>+B42-'Kehtiv finantsplaan 14-20'!B43</f>
        <v>0</v>
      </c>
      <c r="K42" s="31">
        <f>+C42-'Kehtiv finantsplaan 14-20'!C43</f>
        <v>0</v>
      </c>
      <c r="L42" s="31">
        <f>+D42-'Kehtiv finantsplaan 14-20'!D43</f>
        <v>-21939.083238823529</v>
      </c>
      <c r="M42" s="31">
        <f>+E42-'Kehtiv finantsplaan 14-20'!E43</f>
        <v>-20514.5</v>
      </c>
      <c r="N42" s="31">
        <f>+F42-'Kehtiv finantsplaan 14-20'!F43</f>
        <v>-23914.3125</v>
      </c>
      <c r="O42" s="31">
        <f>+G42-'Kehtiv finantsplaan 14-20'!G43</f>
        <v>-63219.026562500003</v>
      </c>
      <c r="P42" s="31">
        <f>+H42-'Kehtiv finantsplaan 14-20'!H43</f>
        <v>3527.2165234374988</v>
      </c>
      <c r="R42" s="103">
        <f>SUM(R31:R35)+R40</f>
        <v>98956.75616796875</v>
      </c>
      <c r="S42" s="103">
        <f t="shared" ref="S42:X42" si="15">+S40+S39+S34+S33+S32+S31</f>
        <v>102455.89129132812</v>
      </c>
      <c r="T42" s="103">
        <f t="shared" si="15"/>
        <v>110965.0091171547</v>
      </c>
      <c r="U42" s="103">
        <f t="shared" si="15"/>
        <v>66484.309299497778</v>
      </c>
      <c r="V42" s="103">
        <f t="shared" si="15"/>
        <v>67013.995485487743</v>
      </c>
      <c r="W42" s="103">
        <f t="shared" si="15"/>
        <v>67554.275395197488</v>
      </c>
      <c r="X42" s="103">
        <f t="shared" si="15"/>
        <v>63105.360903101442</v>
      </c>
    </row>
    <row r="43" spans="1:24" x14ac:dyDescent="0.35">
      <c r="A43" s="106"/>
      <c r="B43" s="104">
        <f t="shared" ref="B43:H43" si="16">+B42/B47</f>
        <v>0.25258051305744855</v>
      </c>
      <c r="C43" s="104">
        <f t="shared" si="16"/>
        <v>0.22252743014428589</v>
      </c>
      <c r="D43" s="104">
        <f t="shared" si="16"/>
        <v>0.25458457525697276</v>
      </c>
      <c r="E43" s="104">
        <f t="shared" si="16"/>
        <v>0.32220031935687937</v>
      </c>
      <c r="F43" s="104">
        <f t="shared" si="16"/>
        <v>0.30494399860771115</v>
      </c>
      <c r="G43" s="104">
        <f t="shared" si="16"/>
        <v>0.18359673505625315</v>
      </c>
      <c r="H43" s="104">
        <f t="shared" si="16"/>
        <v>0.31361963700410467</v>
      </c>
      <c r="J43" s="44"/>
      <c r="K43" s="44"/>
      <c r="L43" s="44"/>
      <c r="M43" s="44"/>
      <c r="N43" s="44"/>
      <c r="O43" s="44"/>
      <c r="P43" s="44"/>
      <c r="R43" s="104">
        <f>+R42/R47</f>
        <v>0.32629391797956586</v>
      </c>
      <c r="S43" s="104">
        <f t="shared" ref="S43:X43" si="17">+S42/S47</f>
        <v>0.32930314879805977</v>
      </c>
      <c r="T43" s="104">
        <f t="shared" si="17"/>
        <v>0.34239055638050908</v>
      </c>
      <c r="U43" s="104">
        <f t="shared" si="17"/>
        <v>0.23397223714660964</v>
      </c>
      <c r="V43" s="104">
        <f t="shared" si="17"/>
        <v>0.23161881253919359</v>
      </c>
      <c r="W43" s="104">
        <f t="shared" si="17"/>
        <v>0.22929781872393168</v>
      </c>
      <c r="X43" s="104">
        <f t="shared" si="17"/>
        <v>0.2139079828579516</v>
      </c>
    </row>
    <row r="44" spans="1:24" ht="63.75" customHeight="1" thickBot="1" x14ac:dyDescent="0.4">
      <c r="A44" s="107" t="s">
        <v>43</v>
      </c>
      <c r="B44" s="46">
        <v>21574</v>
      </c>
      <c r="C44" s="46">
        <v>22113.35</v>
      </c>
      <c r="D44" s="46">
        <v>24693</v>
      </c>
      <c r="E44" s="46">
        <v>25352</v>
      </c>
      <c r="F44" s="46">
        <v>25989</v>
      </c>
      <c r="G44" s="46">
        <v>25989</v>
      </c>
      <c r="H44" s="46">
        <v>26638.724999999999</v>
      </c>
      <c r="J44" s="37">
        <f>+B44-'Kehtiv finantsplaan 14-20'!B45</f>
        <v>0</v>
      </c>
      <c r="K44" s="37">
        <f>+C44-'Kehtiv finantsplaan 14-20'!C45</f>
        <v>0</v>
      </c>
      <c r="L44" s="37">
        <f>+D44-'Kehtiv finantsplaan 14-20'!D45</f>
        <v>2026.8162500000035</v>
      </c>
      <c r="M44" s="37">
        <f>+E44-'Kehtiv finantsplaan 14-20'!E45</f>
        <v>2119.1616562500058</v>
      </c>
      <c r="N44" s="37">
        <f>+F44-'Kehtiv finantsplaan 14-20'!F45</f>
        <v>2175.3406976562583</v>
      </c>
      <c r="O44" s="37">
        <f>+G44-'Kehtiv finantsplaan 14-20'!G45</f>
        <v>1579.9992150976686</v>
      </c>
      <c r="P44" s="37">
        <f>+H44-'Kehtiv finantsplaan 14-20'!H45</f>
        <v>1619.4991954751094</v>
      </c>
      <c r="R44" s="46">
        <f>+H44*1.02</f>
        <v>27171.499499999998</v>
      </c>
      <c r="S44" s="46">
        <f t="shared" ref="S44:X44" si="18">+R44*1.02</f>
        <v>27714.929489999999</v>
      </c>
      <c r="T44" s="46">
        <f t="shared" si="18"/>
        <v>28269.228079799999</v>
      </c>
      <c r="U44" s="46">
        <f t="shared" si="18"/>
        <v>28834.612641396001</v>
      </c>
      <c r="V44" s="46">
        <f t="shared" si="18"/>
        <v>29411.304894223922</v>
      </c>
      <c r="W44" s="46">
        <f t="shared" si="18"/>
        <v>29999.530992108401</v>
      </c>
      <c r="X44" s="46">
        <f t="shared" si="18"/>
        <v>30599.521611950568</v>
      </c>
    </row>
    <row r="45" spans="1:24" ht="18" customHeight="1" thickBot="1" x14ac:dyDescent="0.4">
      <c r="A45" s="106" t="s">
        <v>44</v>
      </c>
      <c r="B45" s="103">
        <f t="shared" ref="B45:H45" si="19">+B44</f>
        <v>21574</v>
      </c>
      <c r="C45" s="103">
        <f t="shared" si="19"/>
        <v>22113.35</v>
      </c>
      <c r="D45" s="103">
        <f t="shared" si="19"/>
        <v>24693</v>
      </c>
      <c r="E45" s="103">
        <f t="shared" si="19"/>
        <v>25352</v>
      </c>
      <c r="F45" s="103">
        <f t="shared" si="19"/>
        <v>25989</v>
      </c>
      <c r="G45" s="103">
        <f t="shared" si="19"/>
        <v>25989</v>
      </c>
      <c r="H45" s="103">
        <f t="shared" si="19"/>
        <v>26638.724999999999</v>
      </c>
      <c r="J45" s="43">
        <f>+B45-'Kehtiv finantsplaan 14-20'!B46</f>
        <v>0</v>
      </c>
      <c r="K45" s="43">
        <f>+C45-'Kehtiv finantsplaan 14-20'!C46</f>
        <v>0</v>
      </c>
      <c r="L45" s="43">
        <f>+D45-'Kehtiv finantsplaan 14-20'!D46</f>
        <v>2026.8162500000035</v>
      </c>
      <c r="M45" s="43">
        <f>+E45-'Kehtiv finantsplaan 14-20'!E46</f>
        <v>2119.1616562500058</v>
      </c>
      <c r="N45" s="43">
        <f>+F45-'Kehtiv finantsplaan 14-20'!F46</f>
        <v>2175.3406976562583</v>
      </c>
      <c r="O45" s="43">
        <f>+G45-'Kehtiv finantsplaan 14-20'!G46</f>
        <v>1579.9992150976686</v>
      </c>
      <c r="P45" s="43">
        <f>+H45-'Kehtiv finantsplaan 14-20'!H46</f>
        <v>1619.4991954751094</v>
      </c>
      <c r="R45" s="103">
        <f>+R44</f>
        <v>27171.499499999998</v>
      </c>
      <c r="S45" s="103">
        <f t="shared" ref="S45:X45" si="20">+S44</f>
        <v>27714.929489999999</v>
      </c>
      <c r="T45" s="103">
        <f t="shared" si="20"/>
        <v>28269.228079799999</v>
      </c>
      <c r="U45" s="103">
        <f t="shared" si="20"/>
        <v>28834.612641396001</v>
      </c>
      <c r="V45" s="103">
        <f t="shared" si="20"/>
        <v>29411.304894223922</v>
      </c>
      <c r="W45" s="103">
        <f t="shared" si="20"/>
        <v>29999.530992108401</v>
      </c>
      <c r="X45" s="103">
        <f t="shared" si="20"/>
        <v>30599.521611950568</v>
      </c>
    </row>
    <row r="46" spans="1:24" ht="15" thickBot="1" x14ac:dyDescent="0.4">
      <c r="A46" s="106"/>
      <c r="B46" s="104">
        <f t="shared" ref="B46:H46" si="21">B45/B47</f>
        <v>9.0615647937164645E-2</v>
      </c>
      <c r="C46" s="104">
        <f t="shared" si="21"/>
        <v>9.1552152607659865E-2</v>
      </c>
      <c r="D46" s="104">
        <f t="shared" si="21"/>
        <v>0.10158781094373855</v>
      </c>
      <c r="E46" s="104">
        <f t="shared" si="21"/>
        <v>9.8277968565858423E-2</v>
      </c>
      <c r="F46" s="104">
        <f t="shared" si="21"/>
        <v>9.2988029380766515E-2</v>
      </c>
      <c r="G46" s="104">
        <f t="shared" si="21"/>
        <v>0.10522357913427793</v>
      </c>
      <c r="H46" s="104">
        <f t="shared" si="21"/>
        <v>9.1972536560391088E-2</v>
      </c>
      <c r="J46" s="45"/>
      <c r="K46" s="45"/>
      <c r="L46" s="45"/>
      <c r="M46" s="45"/>
      <c r="N46" s="45"/>
      <c r="O46" s="45"/>
      <c r="P46" s="45"/>
      <c r="R46" s="104">
        <f>R45/R47</f>
        <v>8.9593630314497019E-2</v>
      </c>
      <c r="S46" s="104">
        <f t="shared" ref="S46:X46" si="22">S45/S47</f>
        <v>8.9078465227754852E-2</v>
      </c>
      <c r="T46" s="104">
        <f t="shared" si="22"/>
        <v>8.7226746590641099E-2</v>
      </c>
      <c r="U46" s="104">
        <f t="shared" si="22"/>
        <v>0.10147505325763076</v>
      </c>
      <c r="V46" s="104">
        <f t="shared" si="22"/>
        <v>0.10165356453494166</v>
      </c>
      <c r="W46" s="104">
        <f t="shared" si="22"/>
        <v>0.10182667165016274</v>
      </c>
      <c r="X46" s="104">
        <f t="shared" si="22"/>
        <v>0.10372307282231152</v>
      </c>
    </row>
    <row r="47" spans="1:24" ht="15" thickBot="1" x14ac:dyDescent="0.4">
      <c r="A47" s="21" t="s">
        <v>45</v>
      </c>
      <c r="B47" s="108">
        <f t="shared" ref="B47:H47" si="23">+B45+B42+B29</f>
        <v>238082.5</v>
      </c>
      <c r="C47" s="108">
        <f t="shared" si="23"/>
        <v>241538.28577647061</v>
      </c>
      <c r="D47" s="108">
        <f t="shared" si="23"/>
        <v>243070.5</v>
      </c>
      <c r="E47" s="108">
        <f t="shared" si="23"/>
        <v>257962.19</v>
      </c>
      <c r="F47" s="108">
        <f t="shared" si="23"/>
        <v>279487.58752140542</v>
      </c>
      <c r="G47" s="108">
        <f t="shared" si="23"/>
        <v>246988.36718749997</v>
      </c>
      <c r="H47" s="108">
        <f t="shared" si="23"/>
        <v>289637.82011718745</v>
      </c>
      <c r="J47" s="26">
        <f>+B47-'Kehtiv finantsplaan 14-20'!B48</f>
        <v>0</v>
      </c>
      <c r="K47" s="26">
        <f>+C47-'Kehtiv finantsplaan 14-20'!C48</f>
        <v>0</v>
      </c>
      <c r="L47" s="26">
        <f>+D47-'Kehtiv finantsplaan 14-20'!D48</f>
        <v>-28617.785113823484</v>
      </c>
      <c r="M47" s="26">
        <f>+E47-'Kehtiv finantsplaan 14-20'!E48</f>
        <v>-25975.636921875004</v>
      </c>
      <c r="N47" s="26">
        <f>+F47-'Kehtiv finantsplaan 14-20'!F48</f>
        <v>-22150.617573516385</v>
      </c>
      <c r="O47" s="26">
        <f>+G47-'Kehtiv finantsplaan 14-20'!G48</f>
        <v>-68214.443034794909</v>
      </c>
      <c r="P47" s="26">
        <f>+H47-'Kehtiv finantsplaan 14-20'!H48</f>
        <v>-25891.735360664781</v>
      </c>
      <c r="R47" s="108">
        <f t="shared" ref="R47:X47" si="24">+R45+R42+R29</f>
        <v>303274.9025195312</v>
      </c>
      <c r="S47" s="108">
        <f t="shared" si="24"/>
        <v>311129.40056992188</v>
      </c>
      <c r="T47" s="108">
        <f t="shared" si="24"/>
        <v>324088.98858132027</v>
      </c>
      <c r="U47" s="108">
        <f t="shared" si="24"/>
        <v>284154.69335294666</v>
      </c>
      <c r="V47" s="108">
        <f t="shared" si="24"/>
        <v>289328.81034500559</v>
      </c>
      <c r="W47" s="108">
        <f t="shared" si="24"/>
        <v>294613.68525503069</v>
      </c>
      <c r="X47" s="108">
        <f t="shared" si="24"/>
        <v>295011.71513083449</v>
      </c>
    </row>
    <row r="48" spans="1:24" s="88" customFormat="1" x14ac:dyDescent="0.35">
      <c r="A48" s="21" t="s">
        <v>343</v>
      </c>
      <c r="B48" s="108">
        <f>+B13</f>
        <v>191849.52100000001</v>
      </c>
      <c r="C48" s="108">
        <f>+C13</f>
        <v>175744.78</v>
      </c>
      <c r="D48" s="108">
        <f>+D47-D37-D38-D27</f>
        <v>208348</v>
      </c>
      <c r="E48" s="108">
        <f>+E47-E37-E38-E27</f>
        <v>209937.19</v>
      </c>
      <c r="F48" s="108">
        <f>F47-F40-F41-F37-F27</f>
        <v>227637.58752140542</v>
      </c>
      <c r="G48" s="108">
        <f>G47-G40-G41-G37-G27</f>
        <v>227638.36718749997</v>
      </c>
      <c r="H48" s="108">
        <f>H47-H40-H41-H37-H27</f>
        <v>247637.82011718745</v>
      </c>
      <c r="I48" s="110"/>
      <c r="J48" s="108">
        <f t="shared" ref="J48:P48" si="25">+J47-J37-J38-J27-J40</f>
        <v>0</v>
      </c>
      <c r="K48" s="108">
        <f t="shared" si="25"/>
        <v>0</v>
      </c>
      <c r="L48" s="108">
        <f t="shared" si="25"/>
        <v>-1040.2851138234837</v>
      </c>
      <c r="M48" s="108">
        <f t="shared" si="25"/>
        <v>-0.63692187500419095</v>
      </c>
      <c r="N48" s="108">
        <f t="shared" si="25"/>
        <v>-0.61757351638516411</v>
      </c>
      <c r="O48" s="108">
        <f t="shared" si="25"/>
        <v>-18014.443034794909</v>
      </c>
      <c r="P48" s="108">
        <f t="shared" si="25"/>
        <v>-15891.735360664781</v>
      </c>
      <c r="Q48" s="110"/>
      <c r="R48" s="108">
        <f t="shared" ref="R48:X48" si="26">R47-R40-R41-R37-R27</f>
        <v>263274.9025195312</v>
      </c>
      <c r="S48" s="108">
        <f t="shared" si="26"/>
        <v>271129.40056992188</v>
      </c>
      <c r="T48" s="108">
        <f t="shared" si="26"/>
        <v>284088.98858132027</v>
      </c>
      <c r="U48" s="108">
        <f t="shared" si="26"/>
        <v>284154.69335294666</v>
      </c>
      <c r="V48" s="108">
        <f t="shared" si="26"/>
        <v>289328.81034500559</v>
      </c>
      <c r="W48" s="108">
        <f t="shared" si="26"/>
        <v>294613.68525503069</v>
      </c>
      <c r="X48" s="108">
        <f t="shared" si="26"/>
        <v>295011.71513083449</v>
      </c>
    </row>
    <row r="49" spans="1:8" ht="18" customHeight="1" x14ac:dyDescent="0.35">
      <c r="A49" s="47" t="s">
        <v>46</v>
      </c>
      <c r="B49" s="48"/>
      <c r="C49" s="48"/>
      <c r="D49" s="121"/>
      <c r="E49" s="121"/>
      <c r="F49" s="121"/>
      <c r="G49" s="121"/>
      <c r="H49" s="121"/>
    </row>
    <row r="50" spans="1:8" ht="18" customHeight="1" x14ac:dyDescent="0.35">
      <c r="A50" s="49" t="s">
        <v>47</v>
      </c>
      <c r="B50" s="50"/>
      <c r="C50" s="50"/>
      <c r="D50" s="90"/>
      <c r="E50" s="90"/>
      <c r="F50" s="88"/>
      <c r="G50" s="88"/>
      <c r="H50" s="50"/>
    </row>
    <row r="51" spans="1:8" s="110" customFormat="1" ht="18" customHeight="1" x14ac:dyDescent="0.35">
      <c r="A51" s="49"/>
      <c r="B51" s="50"/>
      <c r="C51" s="50"/>
      <c r="D51" s="90"/>
      <c r="H51" s="50"/>
    </row>
  </sheetData>
  <mergeCells count="1">
    <mergeCell ref="J3:P7"/>
  </mergeCells>
  <pageMargins left="0.23622047244094491" right="3.937007874015748E-2" top="0.15748031496062992" bottom="0.15748031496062992" header="0.11811023622047245" footer="0.11811023622047245"/>
  <pageSetup paperSize="8" orientation="portrait" r:id="rId1"/>
  <customProperties>
    <customPr name="EpmWorksheetKeyString_GUID" r:id="rId2"/>
  </customProperties>
  <ignoredErrors>
    <ignoredError sqref="I35:Q35" formula="1"/>
    <ignoredError sqref="B39:H39" formulaRange="1"/>
  </ignoredErrors>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133"/>
  <sheetViews>
    <sheetView topLeftCell="A2" workbookViewId="0">
      <pane xSplit="1" ySplit="10" topLeftCell="B15" activePane="bottomRight" state="frozen"/>
      <selection activeCell="A2" sqref="A2"/>
      <selection pane="topRight" activeCell="B2" sqref="B2"/>
      <selection pane="bottomLeft" activeCell="A12" sqref="A12"/>
      <selection pane="bottomRight" activeCell="I127" sqref="I127:J127"/>
    </sheetView>
  </sheetViews>
  <sheetFormatPr defaultColWidth="9.1796875" defaultRowHeight="12" outlineLevelRow="1" outlineLevelCol="1" x14ac:dyDescent="0.3"/>
  <cols>
    <col min="1" max="1" width="47.54296875" style="643" customWidth="1"/>
    <col min="2" max="2" width="8.81640625" style="643" customWidth="1"/>
    <col min="3" max="3" width="9.26953125" style="643" customWidth="1"/>
    <col min="4" max="4" width="10.453125" style="643" customWidth="1"/>
    <col min="5" max="5" width="9.26953125" style="643" customWidth="1"/>
    <col min="6" max="6" width="9.1796875" style="643"/>
    <col min="7" max="8" width="8.7265625" style="643" customWidth="1"/>
    <col min="9" max="10" width="9.1796875" style="643"/>
    <col min="11" max="14" width="0" style="643" hidden="1" customWidth="1" outlineLevel="1"/>
    <col min="15" max="15" width="8.81640625" style="643" hidden="1" customWidth="1" outlineLevel="1"/>
    <col min="16" max="16" width="9.1796875" style="643" collapsed="1"/>
    <col min="17" max="17" width="85.1796875" style="643" customWidth="1"/>
    <col min="18" max="16384" width="9.1796875" style="643"/>
  </cols>
  <sheetData>
    <row r="1" spans="1:15" x14ac:dyDescent="0.3">
      <c r="A1" s="642" t="s">
        <v>580</v>
      </c>
      <c r="E1" s="644"/>
      <c r="F1" s="644"/>
      <c r="G1" s="644"/>
      <c r="I1" s="644"/>
      <c r="J1" s="644"/>
      <c r="K1" s="644"/>
      <c r="L1" s="644"/>
      <c r="M1" s="644"/>
      <c r="N1" s="644"/>
    </row>
    <row r="2" spans="1:15" x14ac:dyDescent="0.3">
      <c r="A2" s="645" t="s">
        <v>416</v>
      </c>
      <c r="E2" s="646">
        <v>2017</v>
      </c>
      <c r="F2" s="646">
        <v>2018</v>
      </c>
      <c r="G2" s="646">
        <v>2019</v>
      </c>
      <c r="H2" s="646">
        <v>2020</v>
      </c>
      <c r="I2" s="646">
        <v>2021</v>
      </c>
      <c r="J2" s="744" t="s">
        <v>581</v>
      </c>
      <c r="K2" s="644"/>
    </row>
    <row r="3" spans="1:15" hidden="1" outlineLevel="1" x14ac:dyDescent="0.3">
      <c r="A3" s="647" t="s">
        <v>540</v>
      </c>
      <c r="E3" s="648">
        <v>209937.5</v>
      </c>
      <c r="F3" s="648">
        <v>227637.5</v>
      </c>
      <c r="G3" s="648">
        <v>227638</v>
      </c>
      <c r="H3" s="648">
        <v>227638</v>
      </c>
      <c r="I3" s="648">
        <v>227638</v>
      </c>
      <c r="J3" s="648"/>
      <c r="K3" s="644"/>
    </row>
    <row r="4" spans="1:15" hidden="1" outlineLevel="1" x14ac:dyDescent="0.3">
      <c r="A4" s="649" t="s">
        <v>541</v>
      </c>
      <c r="E4" s="647"/>
      <c r="F4" s="647"/>
      <c r="G4" s="650">
        <v>20000</v>
      </c>
      <c r="H4" s="650">
        <v>20000</v>
      </c>
      <c r="I4" s="650">
        <v>20000</v>
      </c>
      <c r="J4" s="650"/>
      <c r="K4" s="644"/>
      <c r="L4" s="644"/>
      <c r="M4" s="644"/>
      <c r="N4" s="644"/>
    </row>
    <row r="5" spans="1:15" collapsed="1" x14ac:dyDescent="0.3">
      <c r="A5" s="651" t="s">
        <v>542</v>
      </c>
      <c r="E5" s="652">
        <f>209607747/1000</f>
        <v>209607.747</v>
      </c>
      <c r="F5" s="652">
        <f>227286054/1000</f>
        <v>227286.054</v>
      </c>
      <c r="G5" s="652">
        <f>247261054/1000</f>
        <v>247261.054</v>
      </c>
      <c r="H5" s="652">
        <f>247262054/1000</f>
        <v>247262.054</v>
      </c>
      <c r="I5" s="652">
        <f>247262054/1000</f>
        <v>247262.054</v>
      </c>
      <c r="J5" s="652">
        <f>247262054/1000</f>
        <v>247262.054</v>
      </c>
      <c r="K5" s="644"/>
      <c r="L5" s="644"/>
      <c r="M5" s="644"/>
      <c r="N5" s="644"/>
    </row>
    <row r="6" spans="1:15" x14ac:dyDescent="0.3">
      <c r="A6" s="653" t="s">
        <v>1162</v>
      </c>
      <c r="E6" s="647"/>
      <c r="F6" s="650">
        <v>10000</v>
      </c>
      <c r="G6" s="650">
        <v>40000</v>
      </c>
      <c r="H6" s="650">
        <v>40000</v>
      </c>
      <c r="I6" s="650">
        <v>40000</v>
      </c>
      <c r="J6" s="650">
        <v>40000</v>
      </c>
      <c r="K6" s="644"/>
      <c r="L6" s="644"/>
      <c r="M6" s="644"/>
      <c r="N6" s="644"/>
    </row>
    <row r="7" spans="1:15" x14ac:dyDescent="0.3">
      <c r="A7" s="654"/>
      <c r="B7" s="655"/>
      <c r="C7" s="655"/>
      <c r="D7" s="656"/>
      <c r="E7" s="656"/>
      <c r="F7" s="644"/>
      <c r="G7" s="644"/>
      <c r="I7" s="644"/>
      <c r="J7" s="644"/>
      <c r="K7" s="644"/>
      <c r="L7" s="644"/>
      <c r="M7" s="644"/>
      <c r="N7" s="644"/>
    </row>
    <row r="8" spans="1:15" ht="12.5" thickBot="1" x14ac:dyDescent="0.35">
      <c r="A8" s="755" t="s">
        <v>1163</v>
      </c>
      <c r="B8" s="655"/>
      <c r="C8" s="655"/>
      <c r="D8" s="656"/>
      <c r="E8" s="745">
        <f t="shared" ref="E8:J8" si="0">E5-E11</f>
        <v>-45.839000000007218</v>
      </c>
      <c r="F8" s="745">
        <f t="shared" si="0"/>
        <v>-67.532000000006519</v>
      </c>
      <c r="G8" s="745">
        <f t="shared" si="0"/>
        <v>-92.532000000006519</v>
      </c>
      <c r="H8" s="745">
        <f t="shared" si="0"/>
        <v>-91.531999999511754</v>
      </c>
      <c r="I8" s="745">
        <f t="shared" si="0"/>
        <v>-35722.929720000015</v>
      </c>
      <c r="J8" s="745">
        <f t="shared" si="0"/>
        <v>-43571.62939440005</v>
      </c>
      <c r="K8" s="644"/>
      <c r="L8" s="644"/>
      <c r="M8" s="644"/>
      <c r="N8" s="644"/>
    </row>
    <row r="9" spans="1:15" x14ac:dyDescent="0.3">
      <c r="A9" s="657"/>
      <c r="B9" s="658"/>
      <c r="C9" s="658"/>
      <c r="D9" s="658"/>
      <c r="E9" s="659"/>
      <c r="F9" s="659"/>
      <c r="G9" s="659"/>
      <c r="H9" s="660" t="s">
        <v>0</v>
      </c>
      <c r="I9" s="644"/>
      <c r="J9" s="644"/>
      <c r="K9" s="644"/>
      <c r="L9" s="644"/>
      <c r="M9" s="644"/>
      <c r="N9" s="644"/>
      <c r="O9" s="661" t="s">
        <v>0</v>
      </c>
    </row>
    <row r="10" spans="1:15" x14ac:dyDescent="0.3">
      <c r="A10" s="662" t="s">
        <v>416</v>
      </c>
      <c r="B10" s="663">
        <v>2014</v>
      </c>
      <c r="C10" s="664">
        <v>2015</v>
      </c>
      <c r="D10" s="664">
        <v>2016</v>
      </c>
      <c r="E10" s="646" t="s">
        <v>4</v>
      </c>
      <c r="F10" s="646" t="s">
        <v>5</v>
      </c>
      <c r="G10" s="646" t="s">
        <v>381</v>
      </c>
      <c r="H10" s="665" t="s">
        <v>555</v>
      </c>
      <c r="I10" s="646">
        <v>2021</v>
      </c>
      <c r="J10" s="646">
        <v>2022</v>
      </c>
      <c r="K10" s="646">
        <v>2023</v>
      </c>
      <c r="L10" s="646">
        <v>2024</v>
      </c>
      <c r="M10" s="646">
        <v>2025</v>
      </c>
      <c r="N10" s="646">
        <v>2026</v>
      </c>
      <c r="O10" s="646">
        <v>2027</v>
      </c>
    </row>
    <row r="11" spans="1:15" x14ac:dyDescent="0.3">
      <c r="A11" s="666" t="s">
        <v>380</v>
      </c>
      <c r="B11" s="648">
        <v>191849.52100000001</v>
      </c>
      <c r="C11" s="648">
        <f>175744.88</f>
        <v>175744.88</v>
      </c>
      <c r="D11" s="648">
        <v>207348</v>
      </c>
      <c r="E11" s="648">
        <f>209937.5-253.91399999999-30</f>
        <v>209653.58600000001</v>
      </c>
      <c r="F11" s="648">
        <f>227637.5-253.91399999999-30</f>
        <v>227353.58600000001</v>
      </c>
      <c r="G11" s="648">
        <f>227638-254.41399999999-30+20000</f>
        <v>247353.58600000001</v>
      </c>
      <c r="H11" s="667">
        <f>247637.820117187-254.234117187472-30</f>
        <v>247353.58599999952</v>
      </c>
      <c r="I11" s="668">
        <f>I42</f>
        <v>282984.98372000002</v>
      </c>
      <c r="J11" s="668">
        <f t="shared" ref="J11:O11" si="1">J42</f>
        <v>290833.68339440005</v>
      </c>
      <c r="K11" s="648">
        <f t="shared" si="1"/>
        <v>283787.35706228798</v>
      </c>
      <c r="L11" s="648">
        <f t="shared" si="1"/>
        <v>283847.02920353378</v>
      </c>
      <c r="M11" s="648">
        <f t="shared" si="1"/>
        <v>289014.99291260442</v>
      </c>
      <c r="N11" s="648">
        <f t="shared" si="1"/>
        <v>294293.59147398151</v>
      </c>
      <c r="O11" s="648">
        <f t="shared" si="1"/>
        <v>294685.21947416425</v>
      </c>
    </row>
    <row r="12" spans="1:15" x14ac:dyDescent="0.3">
      <c r="A12" s="666" t="s">
        <v>556</v>
      </c>
      <c r="B12" s="648">
        <v>46233.226999999999</v>
      </c>
      <c r="C12" s="669">
        <f>65793</f>
        <v>65793</v>
      </c>
      <c r="D12" s="670">
        <v>31475.5</v>
      </c>
      <c r="E12" s="670">
        <v>48382</v>
      </c>
      <c r="F12" s="670">
        <v>45475</v>
      </c>
      <c r="G12" s="670">
        <v>23120</v>
      </c>
      <c r="H12" s="671"/>
      <c r="I12" s="668"/>
      <c r="J12" s="668"/>
      <c r="K12" s="648"/>
      <c r="L12" s="648"/>
      <c r="M12" s="648"/>
      <c r="N12" s="648"/>
      <c r="O12" s="648"/>
    </row>
    <row r="13" spans="1:15" x14ac:dyDescent="0.3">
      <c r="A13" s="672" t="s">
        <v>412</v>
      </c>
      <c r="B13" s="673">
        <f>B11+B12</f>
        <v>238082.74800000002</v>
      </c>
      <c r="C13" s="673">
        <f>C11+C12</f>
        <v>241537.88</v>
      </c>
      <c r="D13" s="673">
        <f>D11+D12</f>
        <v>238823.5</v>
      </c>
      <c r="E13" s="673">
        <f t="shared" ref="E13:O13" si="2">E11+E12</f>
        <v>258035.58600000001</v>
      </c>
      <c r="F13" s="673">
        <f>F11+F12</f>
        <v>272828.58600000001</v>
      </c>
      <c r="G13" s="673">
        <f t="shared" si="2"/>
        <v>270473.58600000001</v>
      </c>
      <c r="H13" s="674">
        <f t="shared" si="2"/>
        <v>247353.58599999952</v>
      </c>
      <c r="I13" s="673">
        <f t="shared" si="2"/>
        <v>282984.98372000002</v>
      </c>
      <c r="J13" s="673">
        <f t="shared" si="2"/>
        <v>290833.68339440005</v>
      </c>
      <c r="K13" s="673">
        <f t="shared" si="2"/>
        <v>283787.35706228798</v>
      </c>
      <c r="L13" s="673">
        <f t="shared" si="2"/>
        <v>283847.02920353378</v>
      </c>
      <c r="M13" s="673">
        <f t="shared" si="2"/>
        <v>289014.99291260442</v>
      </c>
      <c r="N13" s="673">
        <f t="shared" si="2"/>
        <v>294293.59147398151</v>
      </c>
      <c r="O13" s="673">
        <f t="shared" si="2"/>
        <v>294685.21947416425</v>
      </c>
    </row>
    <row r="14" spans="1:15" s="654" customFormat="1" ht="11.25" customHeight="1" x14ac:dyDescent="0.3">
      <c r="A14" s="675"/>
      <c r="B14" s="676"/>
      <c r="C14" s="676"/>
      <c r="D14" s="676"/>
      <c r="E14" s="676"/>
      <c r="F14" s="676"/>
      <c r="G14" s="676"/>
      <c r="H14" s="677"/>
      <c r="I14" s="676"/>
      <c r="J14" s="676"/>
      <c r="K14" s="676"/>
      <c r="L14" s="676"/>
      <c r="M14" s="676"/>
      <c r="N14" s="676"/>
      <c r="O14" s="676"/>
    </row>
    <row r="15" spans="1:15" x14ac:dyDescent="0.3">
      <c r="A15" s="678" t="s">
        <v>417</v>
      </c>
      <c r="B15" s="646">
        <v>2014</v>
      </c>
      <c r="C15" s="646">
        <v>2015</v>
      </c>
      <c r="D15" s="646">
        <v>2016</v>
      </c>
      <c r="E15" s="646">
        <v>2017</v>
      </c>
      <c r="F15" s="646">
        <v>2018</v>
      </c>
      <c r="G15" s="646">
        <v>2019</v>
      </c>
      <c r="H15" s="665">
        <v>2020</v>
      </c>
      <c r="I15" s="646">
        <v>2021</v>
      </c>
      <c r="J15" s="646">
        <v>2022</v>
      </c>
      <c r="K15" s="646">
        <v>2023</v>
      </c>
      <c r="L15" s="646">
        <v>2024</v>
      </c>
      <c r="M15" s="646">
        <v>2025</v>
      </c>
      <c r="N15" s="646">
        <v>2026</v>
      </c>
      <c r="O15" s="646">
        <v>2027</v>
      </c>
    </row>
    <row r="16" spans="1:15" x14ac:dyDescent="0.3">
      <c r="A16" s="679" t="s">
        <v>23</v>
      </c>
      <c r="B16" s="680">
        <v>48555</v>
      </c>
      <c r="C16" s="680">
        <v>50376</v>
      </c>
      <c r="D16" s="681">
        <v>47623</v>
      </c>
      <c r="E16" s="681">
        <v>49081.69</v>
      </c>
      <c r="F16" s="681">
        <v>50000</v>
      </c>
      <c r="G16" s="681">
        <v>51225</v>
      </c>
      <c r="H16" s="682">
        <v>52480</v>
      </c>
      <c r="I16" s="681">
        <v>55050</v>
      </c>
      <c r="J16" s="681">
        <v>56400</v>
      </c>
      <c r="K16" s="681">
        <v>57784.999999999971</v>
      </c>
      <c r="L16" s="681">
        <v>59204.624999999985</v>
      </c>
      <c r="M16" s="681">
        <v>60659.740624999977</v>
      </c>
      <c r="N16" s="681">
        <v>62151.234140624969</v>
      </c>
      <c r="O16" s="681">
        <v>63680.014994140591</v>
      </c>
    </row>
    <row r="17" spans="1:15" x14ac:dyDescent="0.3">
      <c r="A17" s="684" t="s">
        <v>436</v>
      </c>
      <c r="B17" s="680">
        <v>6180</v>
      </c>
      <c r="C17" s="680">
        <v>6334.4999999999991</v>
      </c>
      <c r="D17" s="680">
        <v>8493</v>
      </c>
      <c r="E17" s="680">
        <v>8000</v>
      </c>
      <c r="F17" s="680">
        <v>8524</v>
      </c>
      <c r="G17" s="681">
        <v>8277</v>
      </c>
      <c r="H17" s="682">
        <v>8560</v>
      </c>
      <c r="I17" s="681">
        <v>8741.2000000000007</v>
      </c>
      <c r="J17" s="681">
        <v>8926.0240000000013</v>
      </c>
      <c r="K17" s="681">
        <v>9114.5444800000023</v>
      </c>
      <c r="L17" s="681">
        <v>9306.8353696000031</v>
      </c>
      <c r="M17" s="681">
        <v>9502.9720769920041</v>
      </c>
      <c r="N17" s="681">
        <v>9703.031518531845</v>
      </c>
      <c r="O17" s="681">
        <v>9907.0921489024822</v>
      </c>
    </row>
    <row r="18" spans="1:15" x14ac:dyDescent="0.3">
      <c r="A18" s="685" t="s">
        <v>568</v>
      </c>
      <c r="B18" s="680">
        <v>22301</v>
      </c>
      <c r="C18" s="680">
        <v>18841.916761176471</v>
      </c>
      <c r="D18" s="680">
        <v>20000</v>
      </c>
      <c r="E18" s="680">
        <v>19500</v>
      </c>
      <c r="F18" s="680">
        <v>20000</v>
      </c>
      <c r="G18" s="680">
        <v>19512.499999999996</v>
      </c>
      <c r="H18" s="686">
        <v>19037.812499999993</v>
      </c>
      <c r="I18" s="680">
        <v>21468.568749999991</v>
      </c>
      <c r="J18" s="680">
        <v>21907.94012499999</v>
      </c>
      <c r="K18" s="680">
        <v>22356.098927499992</v>
      </c>
      <c r="L18" s="680">
        <v>22813.220906049992</v>
      </c>
      <c r="M18" s="680">
        <v>23279.485324170993</v>
      </c>
      <c r="N18" s="680">
        <v>23755.075030654414</v>
      </c>
      <c r="O18" s="680">
        <v>24240.176531267502</v>
      </c>
    </row>
    <row r="19" spans="1:15" x14ac:dyDescent="0.3">
      <c r="A19" s="685" t="s">
        <v>26</v>
      </c>
      <c r="B19" s="680">
        <v>27500</v>
      </c>
      <c r="C19" s="680">
        <v>22788.499999999996</v>
      </c>
      <c r="D19" s="680">
        <v>23000</v>
      </c>
      <c r="E19" s="680">
        <v>23000</v>
      </c>
      <c r="F19" s="680">
        <v>23574.999999999996</v>
      </c>
      <c r="G19" s="680">
        <v>20164.374999999993</v>
      </c>
      <c r="H19" s="686">
        <v>22768.484374999989</v>
      </c>
      <c r="I19" s="680">
        <v>25263.854062499988</v>
      </c>
      <c r="J19" s="680">
        <v>25769.131143749986</v>
      </c>
      <c r="K19" s="680">
        <v>26284.513766624987</v>
      </c>
      <c r="L19" s="680">
        <v>26810.204041957488</v>
      </c>
      <c r="M19" s="680">
        <v>27346.408122796638</v>
      </c>
      <c r="N19" s="680">
        <v>27893.336285252572</v>
      </c>
      <c r="O19" s="680">
        <v>28451.203010957623</v>
      </c>
    </row>
    <row r="20" spans="1:15" x14ac:dyDescent="0.3">
      <c r="A20" s="687" t="s">
        <v>446</v>
      </c>
      <c r="B20" s="680">
        <v>8629</v>
      </c>
      <c r="C20" s="680">
        <v>6844.7250000000004</v>
      </c>
      <c r="D20" s="680">
        <v>7000</v>
      </c>
      <c r="E20" s="680">
        <v>7174.9999999999991</v>
      </c>
      <c r="F20" s="680">
        <v>7354.3749999999982</v>
      </c>
      <c r="G20" s="680">
        <v>7538.2343749999973</v>
      </c>
      <c r="H20" s="686">
        <v>7726.6902343749962</v>
      </c>
      <c r="I20" s="680">
        <v>7881.2240390624966</v>
      </c>
      <c r="J20" s="680">
        <v>8038.8485198437465</v>
      </c>
      <c r="K20" s="680">
        <v>8199.6254902406217</v>
      </c>
      <c r="L20" s="680">
        <v>8363.6180000454351</v>
      </c>
      <c r="M20" s="680">
        <v>8530.8903600463436</v>
      </c>
      <c r="N20" s="680">
        <v>8701.5081672472716</v>
      </c>
      <c r="O20" s="680">
        <v>8875.5383305922169</v>
      </c>
    </row>
    <row r="21" spans="1:15" outlineLevel="1" x14ac:dyDescent="0.3">
      <c r="A21" s="688" t="s">
        <v>28</v>
      </c>
      <c r="B21" s="689">
        <v>21208.5</v>
      </c>
      <c r="C21" s="689">
        <v>21130.400000000005</v>
      </c>
      <c r="D21" s="689">
        <v>33029.5</v>
      </c>
      <c r="E21" s="689">
        <v>41097.999999999993</v>
      </c>
      <c r="F21" s="689">
        <v>52941.999999999985</v>
      </c>
      <c r="G21" s="689">
        <v>51335.999999999985</v>
      </c>
      <c r="H21" s="690">
        <v>47459</v>
      </c>
      <c r="I21" s="689">
        <v>47741.8</v>
      </c>
      <c r="J21" s="689">
        <v>49916.636000000006</v>
      </c>
      <c r="K21" s="689">
        <v>61114.968720000004</v>
      </c>
      <c r="L21" s="689">
        <v>62337.268094400002</v>
      </c>
      <c r="M21" s="689">
        <v>63584.013456288005</v>
      </c>
      <c r="N21" s="689">
        <v>64855.693725413767</v>
      </c>
      <c r="O21" s="689">
        <v>66152.807599922045</v>
      </c>
    </row>
    <row r="22" spans="1:15" outlineLevel="1" x14ac:dyDescent="0.3">
      <c r="A22" s="688" t="s">
        <v>29</v>
      </c>
      <c r="B22" s="689">
        <v>3300</v>
      </c>
      <c r="C22" s="689">
        <v>5903.9999999999982</v>
      </c>
      <c r="D22" s="689">
        <v>2179.5000000000005</v>
      </c>
      <c r="E22" s="689">
        <v>0</v>
      </c>
      <c r="F22" s="689">
        <v>0.15002140541862882</v>
      </c>
      <c r="G22" s="689">
        <v>0</v>
      </c>
      <c r="H22" s="690">
        <v>0</v>
      </c>
      <c r="I22" s="689">
        <v>0</v>
      </c>
      <c r="J22" s="689">
        <v>0</v>
      </c>
      <c r="K22" s="689">
        <v>0</v>
      </c>
      <c r="L22" s="689">
        <v>0</v>
      </c>
      <c r="M22" s="689">
        <v>0</v>
      </c>
      <c r="N22" s="689">
        <v>0</v>
      </c>
      <c r="O22" s="689">
        <v>0</v>
      </c>
    </row>
    <row r="23" spans="1:15" outlineLevel="1" x14ac:dyDescent="0.3">
      <c r="A23" s="688" t="s">
        <v>30</v>
      </c>
      <c r="B23" s="689">
        <v>18700</v>
      </c>
      <c r="C23" s="689">
        <v>33455.999999999993</v>
      </c>
      <c r="D23" s="689">
        <v>12350.499999999998</v>
      </c>
      <c r="E23" s="689">
        <v>0</v>
      </c>
      <c r="F23" s="689">
        <v>0</v>
      </c>
      <c r="G23" s="689">
        <v>0</v>
      </c>
      <c r="H23" s="690">
        <v>0</v>
      </c>
      <c r="I23" s="689">
        <v>0</v>
      </c>
      <c r="J23" s="689">
        <v>0</v>
      </c>
      <c r="K23" s="689">
        <v>0</v>
      </c>
      <c r="L23" s="689">
        <v>0</v>
      </c>
      <c r="M23" s="689">
        <v>0</v>
      </c>
      <c r="N23" s="689">
        <v>0</v>
      </c>
      <c r="O23" s="689">
        <v>0</v>
      </c>
    </row>
    <row r="24" spans="1:15" x14ac:dyDescent="0.3">
      <c r="A24" s="692" t="s">
        <v>31</v>
      </c>
      <c r="B24" s="680">
        <f>+SUM(B21:B23)</f>
        <v>43208.5</v>
      </c>
      <c r="C24" s="680">
        <f t="shared" ref="C24:O24" si="3">+SUM(C21:C23)</f>
        <v>60490.399999999994</v>
      </c>
      <c r="D24" s="680">
        <f t="shared" si="3"/>
        <v>47559.5</v>
      </c>
      <c r="E24" s="680">
        <f t="shared" si="3"/>
        <v>41097.999999999993</v>
      </c>
      <c r="F24" s="680">
        <f t="shared" si="3"/>
        <v>52942.150021405403</v>
      </c>
      <c r="G24" s="680">
        <f t="shared" si="3"/>
        <v>51335.999999999985</v>
      </c>
      <c r="H24" s="680">
        <f t="shared" si="3"/>
        <v>47459</v>
      </c>
      <c r="I24" s="680">
        <f t="shared" si="3"/>
        <v>47741.8</v>
      </c>
      <c r="J24" s="680">
        <f t="shared" si="3"/>
        <v>49916.636000000006</v>
      </c>
      <c r="K24" s="680">
        <f t="shared" si="3"/>
        <v>61114.968720000004</v>
      </c>
      <c r="L24" s="680">
        <f t="shared" si="3"/>
        <v>62337.268094400002</v>
      </c>
      <c r="M24" s="680">
        <f t="shared" si="3"/>
        <v>63584.013456288005</v>
      </c>
      <c r="N24" s="680">
        <f t="shared" si="3"/>
        <v>64855.693725413767</v>
      </c>
      <c r="O24" s="680">
        <f t="shared" si="3"/>
        <v>66152.807599922045</v>
      </c>
    </row>
    <row r="25" spans="1:15" x14ac:dyDescent="0.3">
      <c r="A25" s="693" t="s">
        <v>32</v>
      </c>
      <c r="B25" s="694">
        <f t="shared" ref="B25:O25" si="4">+B24+B20+B19+B18+B17+B16</f>
        <v>156373.5</v>
      </c>
      <c r="C25" s="694">
        <f t="shared" si="4"/>
        <v>165676.04176117649</v>
      </c>
      <c r="D25" s="694">
        <f t="shared" si="4"/>
        <v>153675.5</v>
      </c>
      <c r="E25" s="694">
        <f t="shared" si="4"/>
        <v>147854.69</v>
      </c>
      <c r="F25" s="694">
        <f t="shared" si="4"/>
        <v>162395.5250214054</v>
      </c>
      <c r="G25" s="694">
        <f t="shared" si="4"/>
        <v>158053.10937499997</v>
      </c>
      <c r="H25" s="695">
        <f t="shared" si="4"/>
        <v>158031.98710937498</v>
      </c>
      <c r="I25" s="694">
        <f t="shared" si="4"/>
        <v>166146.64685156249</v>
      </c>
      <c r="J25" s="694">
        <f t="shared" si="4"/>
        <v>170958.57978859375</v>
      </c>
      <c r="K25" s="694">
        <f t="shared" si="4"/>
        <v>184854.75138436555</v>
      </c>
      <c r="L25" s="694">
        <f t="shared" si="4"/>
        <v>188835.77141205291</v>
      </c>
      <c r="M25" s="694">
        <f t="shared" si="4"/>
        <v>192903.50996529395</v>
      </c>
      <c r="N25" s="694">
        <f t="shared" si="4"/>
        <v>197059.87886772482</v>
      </c>
      <c r="O25" s="694">
        <f t="shared" si="4"/>
        <v>201306.83261578245</v>
      </c>
    </row>
    <row r="26" spans="1:15" hidden="1" x14ac:dyDescent="0.3">
      <c r="A26" s="693"/>
      <c r="B26" s="696">
        <f t="shared" ref="B26:O26" si="5">+B25/B41</f>
        <v>0.65680383900538675</v>
      </c>
      <c r="C26" s="696">
        <f t="shared" si="5"/>
        <v>0.68592041724805419</v>
      </c>
      <c r="D26" s="696">
        <f t="shared" si="5"/>
        <v>0.64346892160947311</v>
      </c>
      <c r="E26" s="696">
        <f t="shared" si="5"/>
        <v>0.57300115961524778</v>
      </c>
      <c r="F26" s="696">
        <f t="shared" si="5"/>
        <v>0.59522914149987716</v>
      </c>
      <c r="G26" s="696">
        <f t="shared" si="5"/>
        <v>0.58435691156547898</v>
      </c>
      <c r="H26" s="697">
        <f t="shared" si="5"/>
        <v>0.63889102909296402</v>
      </c>
      <c r="I26" s="696">
        <f t="shared" si="5"/>
        <v>0.58712177822112488</v>
      </c>
      <c r="J26" s="696">
        <f t="shared" si="5"/>
        <v>0.58782248944925863</v>
      </c>
      <c r="K26" s="696">
        <f t="shared" si="5"/>
        <v>0.65138473150441334</v>
      </c>
      <c r="L26" s="696">
        <f t="shared" si="5"/>
        <v>0.66527302379003372</v>
      </c>
      <c r="M26" s="696">
        <f t="shared" si="5"/>
        <v>0.66745156720511822</v>
      </c>
      <c r="N26" s="696">
        <f t="shared" si="5"/>
        <v>0.66960302424780083</v>
      </c>
      <c r="O26" s="696">
        <f t="shared" si="5"/>
        <v>0.68312497306445841</v>
      </c>
    </row>
    <row r="27" spans="1:15" x14ac:dyDescent="0.3">
      <c r="A27" s="698" t="s">
        <v>33</v>
      </c>
      <c r="B27" s="680">
        <v>5000</v>
      </c>
      <c r="C27" s="680">
        <v>5000</v>
      </c>
      <c r="D27" s="680">
        <v>4500</v>
      </c>
      <c r="E27" s="680">
        <v>4612.5</v>
      </c>
      <c r="F27" s="680">
        <v>4727.8125</v>
      </c>
      <c r="G27" s="680">
        <v>4346.0078125</v>
      </c>
      <c r="H27" s="686">
        <v>4467.1580078124998</v>
      </c>
      <c r="I27" s="680">
        <v>5066.5011679687495</v>
      </c>
      <c r="J27" s="680">
        <v>5167.831191328125</v>
      </c>
      <c r="K27" s="680">
        <v>5271.187815154688</v>
      </c>
      <c r="L27" s="680">
        <v>5376.6115714577818</v>
      </c>
      <c r="M27" s="680">
        <v>5484.1438028869379</v>
      </c>
      <c r="N27" s="680">
        <v>5593.826678944677</v>
      </c>
      <c r="O27" s="680">
        <v>5705.703212523571</v>
      </c>
    </row>
    <row r="28" spans="1:15" x14ac:dyDescent="0.3">
      <c r="A28" s="687" t="s">
        <v>34</v>
      </c>
      <c r="B28" s="680">
        <v>500</v>
      </c>
      <c r="C28" s="680">
        <v>500</v>
      </c>
      <c r="D28" s="680">
        <v>1000</v>
      </c>
      <c r="E28" s="680">
        <v>735</v>
      </c>
      <c r="F28" s="680">
        <v>500.25</v>
      </c>
      <c r="G28" s="680">
        <v>500.25</v>
      </c>
      <c r="H28" s="686">
        <v>500.25</v>
      </c>
      <c r="I28" s="680">
        <v>510.255</v>
      </c>
      <c r="J28" s="680">
        <v>520.46010000000001</v>
      </c>
      <c r="K28" s="680">
        <v>530.86930200000006</v>
      </c>
      <c r="L28" s="680">
        <v>541.4866880400001</v>
      </c>
      <c r="M28" s="680">
        <v>552.31642180080007</v>
      </c>
      <c r="N28" s="680">
        <v>563.36275023681605</v>
      </c>
      <c r="O28" s="680">
        <v>574.63000524155234</v>
      </c>
    </row>
    <row r="29" spans="1:15" x14ac:dyDescent="0.3">
      <c r="A29" s="687" t="s">
        <v>35</v>
      </c>
      <c r="B29" s="680">
        <v>7000</v>
      </c>
      <c r="C29" s="680">
        <v>5000</v>
      </c>
      <c r="D29" s="680">
        <v>10123</v>
      </c>
      <c r="E29" s="680">
        <v>7000</v>
      </c>
      <c r="F29" s="680">
        <v>6000</v>
      </c>
      <c r="G29" s="680">
        <v>6000</v>
      </c>
      <c r="H29" s="686">
        <v>6000</v>
      </c>
      <c r="I29" s="680">
        <v>6180</v>
      </c>
      <c r="J29" s="680">
        <v>5363.6</v>
      </c>
      <c r="K29" s="680">
        <v>9550.8720000000012</v>
      </c>
      <c r="L29" s="680">
        <v>9741.8894400000008</v>
      </c>
      <c r="M29" s="680">
        <v>9936.7272288000004</v>
      </c>
      <c r="N29" s="680">
        <v>10135.461773376001</v>
      </c>
      <c r="O29" s="680">
        <v>10338.171008843521</v>
      </c>
    </row>
    <row r="30" spans="1:15" x14ac:dyDescent="0.3">
      <c r="A30" s="692" t="s">
        <v>569</v>
      </c>
      <c r="B30" s="680">
        <v>4000</v>
      </c>
      <c r="C30" s="680">
        <v>3000</v>
      </c>
      <c r="D30" s="680">
        <v>10771</v>
      </c>
      <c r="E30" s="680">
        <v>7345</v>
      </c>
      <c r="F30" s="680">
        <v>6000</v>
      </c>
      <c r="G30" s="680">
        <v>6000</v>
      </c>
      <c r="H30" s="686">
        <v>4000</v>
      </c>
      <c r="I30" s="680">
        <v>4200</v>
      </c>
      <c r="J30" s="680">
        <v>4404</v>
      </c>
      <c r="K30" s="680">
        <v>10612.08</v>
      </c>
      <c r="L30" s="680">
        <v>10824.321599999999</v>
      </c>
      <c r="M30" s="680">
        <v>11040.808031999999</v>
      </c>
      <c r="N30" s="680">
        <v>11261.62419264</v>
      </c>
      <c r="O30" s="680">
        <v>11486.8566764928</v>
      </c>
    </row>
    <row r="31" spans="1:15" ht="19.899999999999999" customHeight="1" outlineLevel="1" x14ac:dyDescent="0.3">
      <c r="A31" s="688" t="s">
        <v>28</v>
      </c>
      <c r="B31" s="689">
        <v>12000</v>
      </c>
      <c r="C31" s="689">
        <v>2000</v>
      </c>
      <c r="D31" s="689">
        <v>11561</v>
      </c>
      <c r="E31" s="689">
        <v>8500</v>
      </c>
      <c r="F31" s="689">
        <f>4000+10000</f>
        <v>14000</v>
      </c>
      <c r="G31" s="689">
        <f>2670+40000</f>
        <v>42670</v>
      </c>
      <c r="H31" s="690">
        <f>7999.7+40000</f>
        <v>47999.7</v>
      </c>
      <c r="I31" s="689">
        <f>34000+40000</f>
        <v>74000</v>
      </c>
      <c r="J31" s="689">
        <f>37000+40000</f>
        <v>77000</v>
      </c>
      <c r="K31" s="689">
        <v>45000</v>
      </c>
      <c r="L31" s="689">
        <v>40000</v>
      </c>
      <c r="M31" s="689">
        <v>40000</v>
      </c>
      <c r="N31" s="689">
        <v>40000</v>
      </c>
      <c r="O31" s="689">
        <v>35000</v>
      </c>
    </row>
    <row r="32" spans="1:15" ht="18.649999999999999" customHeight="1" outlineLevel="1" x14ac:dyDescent="0.3">
      <c r="A32" s="688" t="s">
        <v>37</v>
      </c>
      <c r="B32" s="689">
        <v>1500</v>
      </c>
      <c r="C32" s="689">
        <v>5911.8940152941195</v>
      </c>
      <c r="D32" s="689">
        <v>3375</v>
      </c>
      <c r="E32" s="689">
        <v>8538</v>
      </c>
      <c r="F32" s="689">
        <v>8025</v>
      </c>
      <c r="G32" s="689">
        <v>4080</v>
      </c>
      <c r="H32" s="690">
        <v>0</v>
      </c>
      <c r="I32" s="689">
        <v>0</v>
      </c>
      <c r="J32" s="689">
        <v>0</v>
      </c>
      <c r="K32" s="689">
        <v>0</v>
      </c>
      <c r="L32" s="689">
        <v>0</v>
      </c>
      <c r="M32" s="689">
        <v>0</v>
      </c>
      <c r="N32" s="689">
        <v>0</v>
      </c>
      <c r="O32" s="689">
        <v>0</v>
      </c>
    </row>
    <row r="33" spans="1:17" ht="19.5" customHeight="1" outlineLevel="1" x14ac:dyDescent="0.3">
      <c r="A33" s="688" t="s">
        <v>38</v>
      </c>
      <c r="B33" s="689">
        <v>8500</v>
      </c>
      <c r="C33" s="689">
        <v>15268.884930000007</v>
      </c>
      <c r="D33" s="689">
        <v>19125</v>
      </c>
      <c r="E33" s="689">
        <v>48382</v>
      </c>
      <c r="F33" s="689">
        <v>45475</v>
      </c>
      <c r="G33" s="689">
        <v>23120</v>
      </c>
      <c r="H33" s="690">
        <v>0</v>
      </c>
      <c r="I33" s="689">
        <v>0</v>
      </c>
      <c r="J33" s="689">
        <v>0</v>
      </c>
      <c r="K33" s="689">
        <v>0</v>
      </c>
      <c r="L33" s="689">
        <v>0</v>
      </c>
      <c r="M33" s="689">
        <v>0</v>
      </c>
      <c r="N33" s="689">
        <v>0</v>
      </c>
      <c r="O33" s="689">
        <v>0</v>
      </c>
    </row>
    <row r="34" spans="1:17" ht="19" customHeight="1" outlineLevel="1" x14ac:dyDescent="0.3">
      <c r="A34" s="688" t="s">
        <v>39</v>
      </c>
      <c r="B34" s="689">
        <v>21635</v>
      </c>
      <c r="C34" s="689">
        <v>17068.11507</v>
      </c>
      <c r="D34" s="689">
        <v>0</v>
      </c>
      <c r="E34" s="689">
        <v>0</v>
      </c>
      <c r="F34" s="689">
        <v>0</v>
      </c>
      <c r="G34" s="689">
        <v>0</v>
      </c>
      <c r="H34" s="690">
        <v>0</v>
      </c>
      <c r="I34" s="689">
        <v>0</v>
      </c>
      <c r="J34" s="689">
        <v>0</v>
      </c>
      <c r="K34" s="689">
        <v>0</v>
      </c>
      <c r="L34" s="689">
        <v>0</v>
      </c>
      <c r="M34" s="689">
        <v>0</v>
      </c>
      <c r="N34" s="689">
        <v>0</v>
      </c>
      <c r="O34" s="689">
        <v>0</v>
      </c>
    </row>
    <row r="35" spans="1:17" x14ac:dyDescent="0.3">
      <c r="A35" s="692" t="s">
        <v>40</v>
      </c>
      <c r="B35" s="680">
        <f t="shared" ref="B35:H35" si="6">SUM(B31:B34)</f>
        <v>43635</v>
      </c>
      <c r="C35" s="680">
        <f t="shared" si="6"/>
        <v>40248.894015294129</v>
      </c>
      <c r="D35" s="680">
        <f>SUM(D31:D34)</f>
        <v>34061</v>
      </c>
      <c r="E35" s="680">
        <f t="shared" si="6"/>
        <v>65420</v>
      </c>
      <c r="F35" s="680">
        <f>SUM(F31:F34)</f>
        <v>67500</v>
      </c>
      <c r="G35" s="680">
        <f t="shared" si="6"/>
        <v>69870</v>
      </c>
      <c r="H35" s="686">
        <f t="shared" si="6"/>
        <v>47999.7</v>
      </c>
      <c r="I35" s="680">
        <f t="shared" ref="I35:O35" si="7">SUM(I31:I34)</f>
        <v>74000</v>
      </c>
      <c r="J35" s="680">
        <f t="shared" si="7"/>
        <v>77000</v>
      </c>
      <c r="K35" s="680">
        <f t="shared" si="7"/>
        <v>45000</v>
      </c>
      <c r="L35" s="680">
        <f t="shared" si="7"/>
        <v>40000</v>
      </c>
      <c r="M35" s="680">
        <f t="shared" si="7"/>
        <v>40000</v>
      </c>
      <c r="N35" s="680">
        <f t="shared" si="7"/>
        <v>40000</v>
      </c>
      <c r="O35" s="680">
        <f t="shared" si="7"/>
        <v>35000</v>
      </c>
    </row>
    <row r="36" spans="1:17" ht="23.15" customHeight="1" x14ac:dyDescent="0.3">
      <c r="A36" s="699" t="s">
        <v>42</v>
      </c>
      <c r="B36" s="694">
        <f>B35+B30+B29+B28+B27</f>
        <v>60135</v>
      </c>
      <c r="C36" s="694">
        <f t="shared" ref="C36:O36" si="8">C35+C30+C29+C28+C27</f>
        <v>53748.894015294129</v>
      </c>
      <c r="D36" s="694">
        <f t="shared" si="8"/>
        <v>60455</v>
      </c>
      <c r="E36" s="694">
        <f t="shared" si="8"/>
        <v>85112.5</v>
      </c>
      <c r="F36" s="694">
        <f t="shared" si="8"/>
        <v>84728.0625</v>
      </c>
      <c r="G36" s="694">
        <f t="shared" si="8"/>
        <v>86716.2578125</v>
      </c>
      <c r="H36" s="695">
        <f t="shared" si="8"/>
        <v>62967.108007812494</v>
      </c>
      <c r="I36" s="694">
        <f t="shared" si="8"/>
        <v>89956.75616796875</v>
      </c>
      <c r="J36" s="694">
        <f t="shared" si="8"/>
        <v>92455.891291328124</v>
      </c>
      <c r="K36" s="694">
        <f t="shared" si="8"/>
        <v>70965.009117154696</v>
      </c>
      <c r="L36" s="694">
        <f t="shared" si="8"/>
        <v>66484.309299497778</v>
      </c>
      <c r="M36" s="694">
        <f t="shared" si="8"/>
        <v>67013.995485487743</v>
      </c>
      <c r="N36" s="694">
        <f t="shared" si="8"/>
        <v>67554.275395197488</v>
      </c>
      <c r="O36" s="694">
        <f t="shared" si="8"/>
        <v>63105.360903101442</v>
      </c>
    </row>
    <row r="37" spans="1:17" hidden="1" x14ac:dyDescent="0.3">
      <c r="A37" s="699"/>
      <c r="B37" s="696">
        <f>+B36/B41</f>
        <v>0.25258051305744855</v>
      </c>
      <c r="C37" s="696">
        <f t="shared" ref="C37:H37" si="9">+C36/C41</f>
        <v>0.22252743014428589</v>
      </c>
      <c r="D37" s="696">
        <f t="shared" si="9"/>
        <v>0.25313673068186338</v>
      </c>
      <c r="E37" s="696">
        <f t="shared" si="9"/>
        <v>0.32984791485310866</v>
      </c>
      <c r="F37" s="696">
        <f t="shared" si="9"/>
        <v>0.31055419720571359</v>
      </c>
      <c r="G37" s="696">
        <f t="shared" si="9"/>
        <v>0.32060896997350419</v>
      </c>
      <c r="H37" s="697">
        <f t="shared" si="9"/>
        <v>0.25456314996707785</v>
      </c>
      <c r="I37" s="696">
        <f>+I36/I41</f>
        <v>0.31788526368231829</v>
      </c>
      <c r="J37" s="696">
        <f t="shared" ref="J37:O37" si="10">+J36/J41</f>
        <v>0.31789953011030203</v>
      </c>
      <c r="K37" s="696">
        <f t="shared" si="10"/>
        <v>0.25006402628986291</v>
      </c>
      <c r="L37" s="696">
        <f t="shared" si="10"/>
        <v>0.23422584159520976</v>
      </c>
      <c r="M37" s="696">
        <f t="shared" si="10"/>
        <v>0.23187030821529797</v>
      </c>
      <c r="N37" s="696">
        <f t="shared" si="10"/>
        <v>0.22954721866979547</v>
      </c>
      <c r="O37" s="696">
        <f t="shared" si="10"/>
        <v>0.21414498160344292</v>
      </c>
    </row>
    <row r="38" spans="1:17" ht="24" x14ac:dyDescent="0.3">
      <c r="A38" s="700" t="s">
        <v>43</v>
      </c>
      <c r="B38" s="680">
        <v>21574</v>
      </c>
      <c r="C38" s="680">
        <v>22113.35</v>
      </c>
      <c r="D38" s="680">
        <v>24693</v>
      </c>
      <c r="E38" s="680">
        <v>25068.396000000008</v>
      </c>
      <c r="F38" s="680">
        <v>25704.998478594585</v>
      </c>
      <c r="G38" s="680">
        <v>25704.218812500039</v>
      </c>
      <c r="H38" s="686">
        <v>26354.490882812526</v>
      </c>
      <c r="I38" s="680">
        <v>26881.580700468778</v>
      </c>
      <c r="J38" s="680">
        <v>27419.212314478154</v>
      </c>
      <c r="K38" s="680">
        <v>27967.596560767717</v>
      </c>
      <c r="L38" s="680">
        <v>28526.948491983072</v>
      </c>
      <c r="M38" s="680">
        <v>29097.487461822733</v>
      </c>
      <c r="N38" s="680">
        <v>29679.437211059187</v>
      </c>
      <c r="O38" s="680">
        <v>30273.025955280373</v>
      </c>
    </row>
    <row r="39" spans="1:17" ht="18" customHeight="1" x14ac:dyDescent="0.3">
      <c r="A39" s="699" t="s">
        <v>44</v>
      </c>
      <c r="B39" s="694">
        <f t="shared" ref="B39:H39" si="11">+B38</f>
        <v>21574</v>
      </c>
      <c r="C39" s="694">
        <f t="shared" si="11"/>
        <v>22113.35</v>
      </c>
      <c r="D39" s="694">
        <f t="shared" si="11"/>
        <v>24693</v>
      </c>
      <c r="E39" s="694">
        <f t="shared" si="11"/>
        <v>25068.396000000008</v>
      </c>
      <c r="F39" s="694">
        <f t="shared" si="11"/>
        <v>25704.998478594585</v>
      </c>
      <c r="G39" s="694">
        <f t="shared" si="11"/>
        <v>25704.218812500039</v>
      </c>
      <c r="H39" s="695">
        <f t="shared" si="11"/>
        <v>26354.490882812526</v>
      </c>
      <c r="I39" s="694">
        <f>+I38</f>
        <v>26881.580700468778</v>
      </c>
      <c r="J39" s="694">
        <f t="shared" ref="J39:O39" si="12">+J38</f>
        <v>27419.212314478154</v>
      </c>
      <c r="K39" s="694">
        <f t="shared" si="12"/>
        <v>27967.596560767717</v>
      </c>
      <c r="L39" s="694">
        <f t="shared" si="12"/>
        <v>28526.948491983072</v>
      </c>
      <c r="M39" s="694">
        <f t="shared" si="12"/>
        <v>29097.487461822733</v>
      </c>
      <c r="N39" s="694">
        <f t="shared" si="12"/>
        <v>29679.437211059187</v>
      </c>
      <c r="O39" s="694">
        <f t="shared" si="12"/>
        <v>30273.025955280373</v>
      </c>
    </row>
    <row r="40" spans="1:17" hidden="1" x14ac:dyDescent="0.3">
      <c r="A40" s="699"/>
      <c r="B40" s="696">
        <f>B39/B41</f>
        <v>9.0615647937164645E-2</v>
      </c>
      <c r="C40" s="696">
        <f t="shared" ref="C40:H40" si="13">C39/C41</f>
        <v>9.1552152607659865E-2</v>
      </c>
      <c r="D40" s="696">
        <f t="shared" si="13"/>
        <v>0.10339434770866351</v>
      </c>
      <c r="E40" s="696">
        <f t="shared" si="13"/>
        <v>9.7150925531643562E-2</v>
      </c>
      <c r="F40" s="696">
        <f t="shared" si="13"/>
        <v>9.4216661294409171E-2</v>
      </c>
      <c r="G40" s="696">
        <f t="shared" si="13"/>
        <v>9.5034118461016892E-2</v>
      </c>
      <c r="H40" s="697">
        <f t="shared" si="13"/>
        <v>0.1065458209399581</v>
      </c>
      <c r="I40" s="696">
        <f>I39/I41</f>
        <v>9.499295809655682E-2</v>
      </c>
      <c r="J40" s="696">
        <f t="shared" ref="J40:O40" si="14">J39/J41</f>
        <v>9.4277980440439266E-2</v>
      </c>
      <c r="K40" s="696">
        <f t="shared" si="14"/>
        <v>9.855124220572363E-2</v>
      </c>
      <c r="L40" s="696">
        <f t="shared" si="14"/>
        <v>0.10050113461475652</v>
      </c>
      <c r="M40" s="696">
        <f t="shared" si="14"/>
        <v>0.10067812457958386</v>
      </c>
      <c r="N40" s="696">
        <f t="shared" si="14"/>
        <v>0.10084975708240369</v>
      </c>
      <c r="O40" s="696">
        <f t="shared" si="14"/>
        <v>0.10273004533209878</v>
      </c>
    </row>
    <row r="41" spans="1:17" ht="12.5" thickBot="1" x14ac:dyDescent="0.35">
      <c r="A41" s="701" t="s">
        <v>418</v>
      </c>
      <c r="B41" s="702">
        <f>+B39+B36+B25</f>
        <v>238082.5</v>
      </c>
      <c r="C41" s="702">
        <f>+C39+C36+C25</f>
        <v>241538.28577647061</v>
      </c>
      <c r="D41" s="702">
        <f>+D39+D36+D25</f>
        <v>238823.5</v>
      </c>
      <c r="E41" s="702">
        <f>+E39+E36+E25</f>
        <v>258035.58600000001</v>
      </c>
      <c r="F41" s="702">
        <f>+F39+F36+F25</f>
        <v>272828.58600000001</v>
      </c>
      <c r="G41" s="702">
        <f t="shared" ref="G41:O41" si="15">+G39+G36+G25</f>
        <v>270473.58600000001</v>
      </c>
      <c r="H41" s="703">
        <f t="shared" si="15"/>
        <v>247353.58600000001</v>
      </c>
      <c r="I41" s="704">
        <f t="shared" si="15"/>
        <v>282984.98372000002</v>
      </c>
      <c r="J41" s="704">
        <f t="shared" si="15"/>
        <v>290833.68339440005</v>
      </c>
      <c r="K41" s="704">
        <f t="shared" si="15"/>
        <v>283787.35706228798</v>
      </c>
      <c r="L41" s="704">
        <f t="shared" si="15"/>
        <v>283847.02920353378</v>
      </c>
      <c r="M41" s="704">
        <f t="shared" si="15"/>
        <v>289014.99291260442</v>
      </c>
      <c r="N41" s="704">
        <f t="shared" si="15"/>
        <v>294293.59147398151</v>
      </c>
      <c r="O41" s="704">
        <f t="shared" si="15"/>
        <v>294685.21947416425</v>
      </c>
    </row>
    <row r="42" spans="1:17" hidden="1" x14ac:dyDescent="0.3">
      <c r="A42" s="705" t="s">
        <v>382</v>
      </c>
      <c r="B42" s="706">
        <f>+B11</f>
        <v>191849.52100000001</v>
      </c>
      <c r="C42" s="706">
        <f>+C11</f>
        <v>175744.88</v>
      </c>
      <c r="D42" s="706">
        <f>+D41-D33-D34-D23</f>
        <v>207348</v>
      </c>
      <c r="E42" s="706">
        <f>+E41-E33-E34-E23</f>
        <v>209653.58600000001</v>
      </c>
      <c r="F42" s="706">
        <f>F41-F33-F23</f>
        <v>227353.58600000001</v>
      </c>
      <c r="G42" s="706">
        <f>G41-G33-G23</f>
        <v>247353.58600000001</v>
      </c>
      <c r="H42" s="706">
        <f t="shared" ref="H42:O42" si="16">H41-H33-H23</f>
        <v>247353.58600000001</v>
      </c>
      <c r="I42" s="704">
        <f t="shared" si="16"/>
        <v>282984.98372000002</v>
      </c>
      <c r="J42" s="704">
        <f t="shared" si="16"/>
        <v>290833.68339440005</v>
      </c>
      <c r="K42" s="704">
        <f t="shared" si="16"/>
        <v>283787.35706228798</v>
      </c>
      <c r="L42" s="704">
        <f t="shared" si="16"/>
        <v>283847.02920353378</v>
      </c>
      <c r="M42" s="704">
        <f t="shared" si="16"/>
        <v>289014.99291260442</v>
      </c>
      <c r="N42" s="704">
        <f t="shared" si="16"/>
        <v>294293.59147398151</v>
      </c>
      <c r="O42" s="704">
        <f t="shared" si="16"/>
        <v>294685.21947416425</v>
      </c>
    </row>
    <row r="43" spans="1:17" x14ac:dyDescent="0.3">
      <c r="A43" s="707" t="s">
        <v>554</v>
      </c>
      <c r="B43" s="708"/>
      <c r="C43" s="708"/>
      <c r="D43" s="708"/>
      <c r="E43" s="708"/>
      <c r="F43" s="708"/>
      <c r="G43" s="708"/>
      <c r="H43" s="708"/>
      <c r="I43" s="708"/>
      <c r="J43" s="708"/>
      <c r="K43" s="708"/>
      <c r="L43" s="708"/>
      <c r="M43" s="708"/>
      <c r="N43" s="708"/>
      <c r="O43" s="708"/>
    </row>
    <row r="44" spans="1:17" x14ac:dyDescent="0.3">
      <c r="A44" s="643" t="s">
        <v>557</v>
      </c>
      <c r="B44" s="709"/>
      <c r="C44" s="709"/>
      <c r="D44" s="709"/>
      <c r="E44" s="709"/>
      <c r="F44" s="709"/>
      <c r="G44" s="709"/>
      <c r="H44" s="709"/>
      <c r="I44" s="710"/>
      <c r="J44" s="710"/>
      <c r="K44" s="710"/>
      <c r="L44" s="710"/>
      <c r="M44" s="710"/>
      <c r="N44" s="710"/>
      <c r="O44" s="710"/>
    </row>
    <row r="45" spans="1:17" x14ac:dyDescent="0.3">
      <c r="B45" s="644"/>
      <c r="C45" s="644"/>
      <c r="D45" s="644"/>
      <c r="E45" s="644"/>
      <c r="F45" s="644"/>
      <c r="G45" s="644"/>
      <c r="H45" s="644"/>
    </row>
    <row r="46" spans="1:17" s="691" customFormat="1" x14ac:dyDescent="0.3">
      <c r="A46" s="661"/>
      <c r="B46" s="712"/>
      <c r="C46" s="712"/>
      <c r="D46" s="712"/>
      <c r="E46" s="712"/>
      <c r="F46" s="712"/>
      <c r="G46" s="712"/>
      <c r="H46" s="712"/>
    </row>
    <row r="47" spans="1:17" ht="28.5" customHeight="1" x14ac:dyDescent="0.3">
      <c r="A47" s="755" t="s">
        <v>1156</v>
      </c>
      <c r="B47" s="711"/>
      <c r="C47" s="711"/>
      <c r="D47" s="711"/>
      <c r="E47" s="711"/>
      <c r="F47" s="711"/>
      <c r="G47" s="711"/>
      <c r="H47" s="711"/>
      <c r="I47" s="746"/>
      <c r="J47" s="746"/>
    </row>
    <row r="48" spans="1:17" x14ac:dyDescent="0.3">
      <c r="A48" s="662" t="s">
        <v>416</v>
      </c>
      <c r="B48" s="663">
        <v>2014</v>
      </c>
      <c r="C48" s="664">
        <v>2015</v>
      </c>
      <c r="D48" s="664">
        <v>2016</v>
      </c>
      <c r="E48" s="646" t="s">
        <v>4</v>
      </c>
      <c r="F48" s="646" t="s">
        <v>5</v>
      </c>
      <c r="G48" s="646" t="s">
        <v>381</v>
      </c>
      <c r="H48" s="665" t="s">
        <v>555</v>
      </c>
      <c r="I48" s="646">
        <v>2021</v>
      </c>
      <c r="J48" s="646">
        <v>2022</v>
      </c>
      <c r="K48" s="646">
        <v>2023</v>
      </c>
      <c r="L48" s="646">
        <v>2024</v>
      </c>
      <c r="M48" s="646">
        <v>2025</v>
      </c>
      <c r="N48" s="646">
        <v>2026</v>
      </c>
      <c r="O48" s="646">
        <v>2027</v>
      </c>
      <c r="Q48" s="754"/>
    </row>
    <row r="49" spans="1:17" x14ac:dyDescent="0.3">
      <c r="A49" s="666" t="s">
        <v>380</v>
      </c>
      <c r="B49" s="648">
        <v>191849.52100000001</v>
      </c>
      <c r="C49" s="648">
        <f>175744.88</f>
        <v>175744.88</v>
      </c>
      <c r="D49" s="648">
        <v>207348</v>
      </c>
      <c r="E49" s="648">
        <f>209937.5-253.91399999999-30</f>
        <v>209653.58600000001</v>
      </c>
      <c r="F49" s="648">
        <f>227637.5-253.91399999999-30</f>
        <v>227353.58600000001</v>
      </c>
      <c r="G49" s="648">
        <f>227638-254.41399999999-30+20000</f>
        <v>247353.58600000001</v>
      </c>
      <c r="H49" s="667">
        <f>247637.820117187-254.234117187472-30</f>
        <v>247353.58599999952</v>
      </c>
      <c r="I49" s="668">
        <f>I80</f>
        <v>0</v>
      </c>
      <c r="J49" s="668">
        <f t="shared" ref="J49:O49" si="17">J80</f>
        <v>0</v>
      </c>
      <c r="K49" s="648">
        <f t="shared" si="17"/>
        <v>0</v>
      </c>
      <c r="L49" s="648">
        <f t="shared" si="17"/>
        <v>0</v>
      </c>
      <c r="M49" s="648">
        <f t="shared" si="17"/>
        <v>0</v>
      </c>
      <c r="N49" s="648">
        <f t="shared" si="17"/>
        <v>0</v>
      </c>
      <c r="O49" s="648">
        <f t="shared" si="17"/>
        <v>0</v>
      </c>
      <c r="Q49" s="753"/>
    </row>
    <row r="50" spans="1:17" x14ac:dyDescent="0.3">
      <c r="A50" s="666" t="s">
        <v>556</v>
      </c>
      <c r="B50" s="648">
        <v>46233.226999999999</v>
      </c>
      <c r="C50" s="669">
        <f>65793</f>
        <v>65793</v>
      </c>
      <c r="D50" s="670">
        <v>31475.5</v>
      </c>
      <c r="E50" s="670">
        <v>48382</v>
      </c>
      <c r="F50" s="670">
        <v>45475</v>
      </c>
      <c r="G50" s="670">
        <v>23120</v>
      </c>
      <c r="H50" s="671"/>
      <c r="I50" s="668"/>
      <c r="J50" s="668"/>
      <c r="K50" s="648"/>
      <c r="L50" s="648"/>
      <c r="M50" s="648"/>
      <c r="N50" s="648"/>
      <c r="O50" s="648"/>
      <c r="Q50" s="753"/>
    </row>
    <row r="51" spans="1:17" x14ac:dyDescent="0.3">
      <c r="A51" s="672" t="s">
        <v>412</v>
      </c>
      <c r="B51" s="673">
        <f>B49+B50</f>
        <v>238082.74800000002</v>
      </c>
      <c r="C51" s="673">
        <f>C49+C50</f>
        <v>241537.88</v>
      </c>
      <c r="D51" s="673">
        <f>D49+D50</f>
        <v>238823.5</v>
      </c>
      <c r="E51" s="673">
        <f t="shared" ref="E51" si="18">E49+E50</f>
        <v>258035.58600000001</v>
      </c>
      <c r="F51" s="673">
        <f>F49+F50</f>
        <v>272828.58600000001</v>
      </c>
      <c r="G51" s="673">
        <f t="shared" ref="G51:O51" si="19">G49+G50</f>
        <v>270473.58600000001</v>
      </c>
      <c r="H51" s="674">
        <f t="shared" si="19"/>
        <v>247353.58599999952</v>
      </c>
      <c r="I51" s="673">
        <f t="shared" si="19"/>
        <v>0</v>
      </c>
      <c r="J51" s="673">
        <f t="shared" si="19"/>
        <v>0</v>
      </c>
      <c r="K51" s="673">
        <f t="shared" si="19"/>
        <v>0</v>
      </c>
      <c r="L51" s="673">
        <f t="shared" si="19"/>
        <v>0</v>
      </c>
      <c r="M51" s="673">
        <f t="shared" si="19"/>
        <v>0</v>
      </c>
      <c r="N51" s="673">
        <f t="shared" si="19"/>
        <v>0</v>
      </c>
      <c r="O51" s="673">
        <f t="shared" si="19"/>
        <v>0</v>
      </c>
      <c r="Q51" s="756"/>
    </row>
    <row r="52" spans="1:17" x14ac:dyDescent="0.3">
      <c r="A52" s="675"/>
      <c r="B52" s="676"/>
      <c r="C52" s="676"/>
      <c r="D52" s="676"/>
      <c r="E52" s="676"/>
      <c r="F52" s="676"/>
      <c r="G52" s="676"/>
      <c r="H52" s="677"/>
      <c r="I52" s="676"/>
      <c r="J52" s="676"/>
      <c r="K52" s="676"/>
      <c r="L52" s="676"/>
      <c r="M52" s="676"/>
      <c r="N52" s="676"/>
      <c r="O52" s="676"/>
      <c r="Q52" s="1123" t="s">
        <v>1158</v>
      </c>
    </row>
    <row r="53" spans="1:17" x14ac:dyDescent="0.3">
      <c r="A53" s="678" t="s">
        <v>417</v>
      </c>
      <c r="B53" s="646">
        <v>2014</v>
      </c>
      <c r="C53" s="646">
        <v>2015</v>
      </c>
      <c r="D53" s="646">
        <v>2016</v>
      </c>
      <c r="E53" s="646">
        <v>2017</v>
      </c>
      <c r="F53" s="749">
        <v>2018</v>
      </c>
      <c r="G53" s="749">
        <v>2019</v>
      </c>
      <c r="H53" s="750">
        <v>2020</v>
      </c>
      <c r="I53" s="749">
        <v>2021</v>
      </c>
      <c r="J53" s="749">
        <v>2022</v>
      </c>
      <c r="K53" s="646">
        <v>2023</v>
      </c>
      <c r="L53" s="646">
        <v>2024</v>
      </c>
      <c r="M53" s="646">
        <v>2025</v>
      </c>
      <c r="N53" s="646">
        <v>2026</v>
      </c>
      <c r="O53" s="646">
        <v>2027</v>
      </c>
      <c r="Q53" s="752" t="s">
        <v>582</v>
      </c>
    </row>
    <row r="54" spans="1:17" x14ac:dyDescent="0.3">
      <c r="A54" s="679" t="s">
        <v>23</v>
      </c>
      <c r="B54" s="680"/>
      <c r="C54" s="680"/>
      <c r="D54" s="681"/>
      <c r="E54" s="747"/>
      <c r="F54" s="1126">
        <f t="shared" ref="F54:I55" si="20">+F89-F16</f>
        <v>-5508.6410000000033</v>
      </c>
      <c r="G54" s="1126">
        <f t="shared" si="20"/>
        <v>-8006</v>
      </c>
      <c r="H54" s="1126">
        <f t="shared" si="20"/>
        <v>-9130</v>
      </c>
      <c r="I54" s="1127">
        <f t="shared" si="20"/>
        <v>-9680</v>
      </c>
      <c r="J54" s="1126">
        <f>+J89-J16</f>
        <v>-9070</v>
      </c>
      <c r="K54" s="748"/>
      <c r="L54" s="681"/>
      <c r="M54" s="681"/>
      <c r="N54" s="681"/>
      <c r="O54" s="681"/>
      <c r="Q54" s="681" t="s">
        <v>583</v>
      </c>
    </row>
    <row r="55" spans="1:17" x14ac:dyDescent="0.3">
      <c r="A55" s="684" t="s">
        <v>436</v>
      </c>
      <c r="B55" s="680"/>
      <c r="C55" s="680"/>
      <c r="D55" s="680"/>
      <c r="E55" s="680"/>
      <c r="F55" s="1126">
        <f t="shared" si="20"/>
        <v>0</v>
      </c>
      <c r="G55" s="1126">
        <f t="shared" si="20"/>
        <v>0</v>
      </c>
      <c r="H55" s="1126">
        <f t="shared" si="20"/>
        <v>0</v>
      </c>
      <c r="I55" s="1120"/>
      <c r="J55" s="683"/>
      <c r="K55" s="681"/>
      <c r="L55" s="681"/>
      <c r="M55" s="681"/>
      <c r="N55" s="681"/>
      <c r="O55" s="681"/>
      <c r="Q55" s="683"/>
    </row>
    <row r="56" spans="1:17" x14ac:dyDescent="0.3">
      <c r="A56" s="685" t="s">
        <v>568</v>
      </c>
      <c r="B56" s="680"/>
      <c r="C56" s="680"/>
      <c r="D56" s="680"/>
      <c r="E56" s="680"/>
      <c r="F56" s="680"/>
      <c r="G56" s="680"/>
      <c r="H56" s="680"/>
      <c r="I56" s="1137">
        <v>-2000</v>
      </c>
      <c r="J56" s="1137">
        <v>-2000</v>
      </c>
      <c r="K56" s="680"/>
      <c r="L56" s="680"/>
      <c r="M56" s="680"/>
      <c r="N56" s="680"/>
      <c r="O56" s="680"/>
      <c r="Q56" s="681" t="s">
        <v>1160</v>
      </c>
    </row>
    <row r="57" spans="1:17" x14ac:dyDescent="0.3">
      <c r="A57" s="685" t="s">
        <v>26</v>
      </c>
      <c r="B57" s="680"/>
      <c r="C57" s="680"/>
      <c r="D57" s="680"/>
      <c r="E57" s="680"/>
      <c r="F57" s="680"/>
      <c r="G57" s="680"/>
      <c r="H57" s="680"/>
      <c r="I57" s="1137">
        <v>-3000</v>
      </c>
      <c r="J57" s="1137">
        <v>-3000</v>
      </c>
      <c r="K57" s="680"/>
      <c r="L57" s="680"/>
      <c r="M57" s="680"/>
      <c r="N57" s="680"/>
      <c r="O57" s="680"/>
      <c r="Q57" s="681" t="s">
        <v>1161</v>
      </c>
    </row>
    <row r="58" spans="1:17" x14ac:dyDescent="0.3">
      <c r="A58" s="687" t="s">
        <v>446</v>
      </c>
      <c r="B58" s="680"/>
      <c r="C58" s="680"/>
      <c r="D58" s="680"/>
      <c r="E58" s="680"/>
      <c r="F58" s="1126">
        <f t="shared" ref="F58:I59" si="21">+F93-F20</f>
        <v>-2280.1469999999981</v>
      </c>
      <c r="G58" s="1126">
        <f t="shared" si="21"/>
        <v>-2473.6063749999976</v>
      </c>
      <c r="H58" s="1126">
        <f t="shared" si="21"/>
        <v>-2689.4622343749961</v>
      </c>
      <c r="I58" s="1126">
        <f t="shared" si="21"/>
        <v>-2848.5960390624969</v>
      </c>
      <c r="J58" s="681"/>
      <c r="K58" s="680"/>
      <c r="L58" s="680"/>
      <c r="M58" s="680"/>
      <c r="N58" s="680"/>
      <c r="O58" s="680"/>
      <c r="Q58" s="681" t="s">
        <v>1159</v>
      </c>
    </row>
    <row r="59" spans="1:17" x14ac:dyDescent="0.3">
      <c r="A59" s="688" t="s">
        <v>28</v>
      </c>
      <c r="B59" s="689"/>
      <c r="C59" s="689"/>
      <c r="D59" s="689"/>
      <c r="E59" s="689"/>
      <c r="F59" s="1128">
        <f t="shared" si="21"/>
        <v>-1.9999999999854481</v>
      </c>
      <c r="G59" s="1128">
        <f t="shared" si="21"/>
        <v>-5.9999999999854481</v>
      </c>
      <c r="H59" s="1128">
        <f t="shared" si="21"/>
        <v>1.000000000007276</v>
      </c>
      <c r="I59" s="1128">
        <f t="shared" si="21"/>
        <v>-0.35000000001309672</v>
      </c>
      <c r="J59" s="681"/>
      <c r="K59" s="689"/>
      <c r="L59" s="689"/>
      <c r="M59" s="689"/>
      <c r="N59" s="689"/>
      <c r="O59" s="689"/>
      <c r="Q59" s="681"/>
    </row>
    <row r="60" spans="1:17" x14ac:dyDescent="0.3">
      <c r="A60" s="688" t="s">
        <v>29</v>
      </c>
      <c r="B60" s="689"/>
      <c r="C60" s="689"/>
      <c r="D60" s="689"/>
      <c r="E60" s="689"/>
      <c r="F60" s="689"/>
      <c r="G60" s="689"/>
      <c r="H60" s="689"/>
      <c r="I60" s="748"/>
      <c r="J60" s="681"/>
      <c r="K60" s="689"/>
      <c r="L60" s="689"/>
      <c r="M60" s="689"/>
      <c r="N60" s="689"/>
      <c r="O60" s="689"/>
      <c r="Q60" s="681"/>
    </row>
    <row r="61" spans="1:17" x14ac:dyDescent="0.3">
      <c r="A61" s="688" t="s">
        <v>30</v>
      </c>
      <c r="B61" s="689"/>
      <c r="C61" s="689"/>
      <c r="D61" s="689"/>
      <c r="E61" s="689"/>
      <c r="F61" s="689"/>
      <c r="G61" s="689"/>
      <c r="H61" s="689"/>
      <c r="I61" s="748"/>
      <c r="J61" s="681"/>
      <c r="K61" s="689"/>
      <c r="L61" s="689"/>
      <c r="M61" s="689"/>
      <c r="N61" s="689"/>
      <c r="O61" s="689"/>
      <c r="Q61" s="681"/>
    </row>
    <row r="62" spans="1:17" x14ac:dyDescent="0.3">
      <c r="A62" s="692" t="s">
        <v>31</v>
      </c>
      <c r="B62" s="680"/>
      <c r="C62" s="680"/>
      <c r="D62" s="680"/>
      <c r="E62" s="680"/>
      <c r="F62" s="1126">
        <f t="shared" ref="F62:I62" si="22">+F97-F24</f>
        <v>-2.1500214054030948</v>
      </c>
      <c r="G62" s="1126">
        <f t="shared" si="22"/>
        <v>-5.9999999999854481</v>
      </c>
      <c r="H62" s="1126">
        <f t="shared" si="22"/>
        <v>1.000000000007276</v>
      </c>
      <c r="I62" s="1126">
        <f t="shared" si="22"/>
        <v>-0.35000000001309672</v>
      </c>
      <c r="J62" s="681"/>
      <c r="K62" s="680"/>
      <c r="L62" s="680"/>
      <c r="M62" s="680"/>
      <c r="N62" s="680"/>
      <c r="O62" s="680"/>
      <c r="Q62" s="681"/>
    </row>
    <row r="63" spans="1:17" x14ac:dyDescent="0.3">
      <c r="A63" s="693" t="s">
        <v>32</v>
      </c>
      <c r="B63" s="694">
        <f t="shared" ref="B63:O63" si="23">+B62+B58+B57+B56+B55+B54</f>
        <v>0</v>
      </c>
      <c r="C63" s="694">
        <f t="shared" si="23"/>
        <v>0</v>
      </c>
      <c r="D63" s="694">
        <f t="shared" si="23"/>
        <v>0</v>
      </c>
      <c r="E63" s="694">
        <f t="shared" si="23"/>
        <v>0</v>
      </c>
      <c r="F63" s="694">
        <f t="shared" si="23"/>
        <v>-7790.9380214054045</v>
      </c>
      <c r="G63" s="694">
        <f t="shared" si="23"/>
        <v>-10485.606374999983</v>
      </c>
      <c r="H63" s="694">
        <f t="shared" si="23"/>
        <v>-11818.462234374989</v>
      </c>
      <c r="I63" s="1121">
        <f t="shared" si="23"/>
        <v>-17528.94603906251</v>
      </c>
      <c r="J63" s="694">
        <f t="shared" si="23"/>
        <v>-14070</v>
      </c>
      <c r="K63" s="694">
        <f t="shared" si="23"/>
        <v>0</v>
      </c>
      <c r="L63" s="694">
        <f t="shared" si="23"/>
        <v>0</v>
      </c>
      <c r="M63" s="694">
        <f t="shared" si="23"/>
        <v>0</v>
      </c>
      <c r="N63" s="694">
        <f t="shared" si="23"/>
        <v>0</v>
      </c>
      <c r="O63" s="694">
        <f t="shared" si="23"/>
        <v>0</v>
      </c>
      <c r="Q63" s="694"/>
    </row>
    <row r="64" spans="1:17" x14ac:dyDescent="0.3">
      <c r="A64" s="693"/>
      <c r="B64" s="696" t="e">
        <f t="shared" ref="B64:O64" si="24">+B63/B79</f>
        <v>#DIV/0!</v>
      </c>
      <c r="C64" s="696" t="e">
        <f t="shared" si="24"/>
        <v>#DIV/0!</v>
      </c>
      <c r="D64" s="696" t="e">
        <f t="shared" si="24"/>
        <v>#DIV/0!</v>
      </c>
      <c r="E64" s="696" t="e">
        <f t="shared" si="24"/>
        <v>#DIV/0!</v>
      </c>
      <c r="F64" s="696" t="e">
        <f t="shared" si="24"/>
        <v>#REF!</v>
      </c>
      <c r="G64" s="696" t="e">
        <f t="shared" si="24"/>
        <v>#REF!</v>
      </c>
      <c r="H64" s="696" t="e">
        <f t="shared" si="24"/>
        <v>#REF!</v>
      </c>
      <c r="I64" s="1122">
        <f t="shared" si="24"/>
        <v>0.49069172591543275</v>
      </c>
      <c r="J64" s="696">
        <f t="shared" si="24"/>
        <v>0.32291654444780377</v>
      </c>
      <c r="K64" s="696">
        <f t="shared" si="24"/>
        <v>0</v>
      </c>
      <c r="L64" s="696">
        <f t="shared" si="24"/>
        <v>0</v>
      </c>
      <c r="M64" s="696">
        <f t="shared" si="24"/>
        <v>0</v>
      </c>
      <c r="N64" s="696">
        <f t="shared" si="24"/>
        <v>0</v>
      </c>
      <c r="O64" s="696">
        <f t="shared" si="24"/>
        <v>0</v>
      </c>
      <c r="Q64" s="696"/>
    </row>
    <row r="65" spans="1:17" x14ac:dyDescent="0.3">
      <c r="A65" s="698" t="s">
        <v>33</v>
      </c>
      <c r="B65" s="680"/>
      <c r="C65" s="680"/>
      <c r="D65" s="680"/>
      <c r="E65" s="680"/>
      <c r="F65" s="1131">
        <v>1000</v>
      </c>
      <c r="G65" s="1131">
        <v>1000</v>
      </c>
      <c r="H65" s="1131">
        <v>1000</v>
      </c>
      <c r="I65" s="1131">
        <v>1000</v>
      </c>
      <c r="J65" s="1131">
        <v>1000</v>
      </c>
      <c r="K65" s="680">
        <v>1000</v>
      </c>
      <c r="L65" s="680">
        <v>1000</v>
      </c>
      <c r="M65" s="680">
        <v>1000</v>
      </c>
      <c r="N65" s="680">
        <v>1000</v>
      </c>
      <c r="O65" s="680">
        <v>1000</v>
      </c>
      <c r="Q65" s="681" t="s">
        <v>1151</v>
      </c>
    </row>
    <row r="66" spans="1:17" x14ac:dyDescent="0.3">
      <c r="A66" s="687" t="s">
        <v>34</v>
      </c>
      <c r="B66" s="680"/>
      <c r="C66" s="680"/>
      <c r="D66" s="680"/>
      <c r="E66" s="680"/>
      <c r="F66" s="680"/>
      <c r="G66" s="680"/>
      <c r="H66" s="680"/>
      <c r="I66" s="748"/>
      <c r="J66" s="681"/>
      <c r="K66" s="680"/>
      <c r="L66" s="680"/>
      <c r="M66" s="680"/>
      <c r="N66" s="680"/>
      <c r="O66" s="680"/>
      <c r="Q66" s="681"/>
    </row>
    <row r="67" spans="1:17" x14ac:dyDescent="0.3">
      <c r="A67" s="687" t="s">
        <v>35</v>
      </c>
      <c r="B67" s="680"/>
      <c r="C67" s="680"/>
      <c r="D67" s="680"/>
      <c r="E67" s="680"/>
      <c r="F67" s="680"/>
      <c r="G67" s="680"/>
      <c r="H67" s="680"/>
      <c r="I67" s="748"/>
      <c r="J67" s="1136">
        <v>1000</v>
      </c>
      <c r="K67" s="680"/>
      <c r="L67" s="680"/>
      <c r="M67" s="680"/>
      <c r="N67" s="680"/>
      <c r="O67" s="680"/>
      <c r="Q67" s="681" t="s">
        <v>1155</v>
      </c>
    </row>
    <row r="68" spans="1:17" x14ac:dyDescent="0.3">
      <c r="A68" s="692" t="s">
        <v>569</v>
      </c>
      <c r="B68" s="680"/>
      <c r="C68" s="680"/>
      <c r="D68" s="680"/>
      <c r="E68" s="680"/>
      <c r="F68" s="680"/>
      <c r="G68" s="680"/>
      <c r="H68" s="680"/>
      <c r="I68" s="748"/>
      <c r="J68" s="681"/>
      <c r="K68" s="680"/>
      <c r="L68" s="680"/>
      <c r="M68" s="680"/>
      <c r="N68" s="680"/>
      <c r="O68" s="680"/>
      <c r="Q68" s="681"/>
    </row>
    <row r="69" spans="1:17" x14ac:dyDescent="0.3">
      <c r="A69" s="688" t="s">
        <v>28</v>
      </c>
      <c r="B69" s="689"/>
      <c r="C69" s="689"/>
      <c r="D69" s="689"/>
      <c r="E69" s="689"/>
      <c r="F69" s="1128" t="e">
        <f t="shared" ref="F69:J71" si="25">+F104-F31</f>
        <v>#REF!</v>
      </c>
      <c r="G69" s="1128" t="e">
        <f t="shared" si="25"/>
        <v>#REF!</v>
      </c>
      <c r="H69" s="1128" t="e">
        <f t="shared" si="25"/>
        <v>#REF!</v>
      </c>
      <c r="I69" s="1129">
        <f t="shared" si="25"/>
        <v>-21193.983680937497</v>
      </c>
      <c r="J69" s="1128">
        <f t="shared" si="25"/>
        <v>-33501.629394399999</v>
      </c>
      <c r="K69" s="689"/>
      <c r="L69" s="689"/>
      <c r="M69" s="689"/>
      <c r="N69" s="689"/>
      <c r="O69" s="689"/>
      <c r="Q69" s="681"/>
    </row>
    <row r="70" spans="1:17" x14ac:dyDescent="0.3">
      <c r="A70" s="688" t="s">
        <v>37</v>
      </c>
      <c r="B70" s="689"/>
      <c r="C70" s="689"/>
      <c r="D70" s="689"/>
      <c r="E70" s="689"/>
      <c r="F70" s="1128" t="e">
        <f t="shared" si="25"/>
        <v>#REF!</v>
      </c>
      <c r="G70" s="1128" t="e">
        <f t="shared" si="25"/>
        <v>#REF!</v>
      </c>
      <c r="H70" s="1128" t="e">
        <f t="shared" si="25"/>
        <v>#REF!</v>
      </c>
      <c r="I70" s="748">
        <f t="shared" ref="I70:I72" si="26">+I32*$I$47</f>
        <v>0</v>
      </c>
      <c r="J70" s="681">
        <f t="shared" ref="J70:J72" si="27">+J32*$J$47</f>
        <v>0</v>
      </c>
      <c r="K70" s="689"/>
      <c r="L70" s="689"/>
      <c r="M70" s="689"/>
      <c r="N70" s="689"/>
      <c r="O70" s="689"/>
      <c r="Q70" s="681"/>
    </row>
    <row r="71" spans="1:17" x14ac:dyDescent="0.3">
      <c r="A71" s="688" t="s">
        <v>38</v>
      </c>
      <c r="B71" s="689"/>
      <c r="C71" s="689"/>
      <c r="D71" s="689"/>
      <c r="E71" s="689"/>
      <c r="F71" s="1128" t="e">
        <f t="shared" si="25"/>
        <v>#REF!</v>
      </c>
      <c r="G71" s="1128" t="e">
        <f t="shared" si="25"/>
        <v>#REF!</v>
      </c>
      <c r="H71" s="1128" t="e">
        <f t="shared" si="25"/>
        <v>#REF!</v>
      </c>
      <c r="I71" s="748">
        <f t="shared" si="26"/>
        <v>0</v>
      </c>
      <c r="J71" s="681">
        <f t="shared" si="27"/>
        <v>0</v>
      </c>
      <c r="K71" s="689"/>
      <c r="L71" s="689"/>
      <c r="M71" s="689"/>
      <c r="N71" s="689"/>
      <c r="O71" s="689"/>
      <c r="Q71" s="681"/>
    </row>
    <row r="72" spans="1:17" x14ac:dyDescent="0.3">
      <c r="A72" s="688" t="s">
        <v>39</v>
      </c>
      <c r="B72" s="689"/>
      <c r="C72" s="689"/>
      <c r="D72" s="689"/>
      <c r="E72" s="689"/>
      <c r="F72" s="689"/>
      <c r="G72" s="689"/>
      <c r="H72" s="689"/>
      <c r="I72" s="748">
        <f t="shared" si="26"/>
        <v>0</v>
      </c>
      <c r="J72" s="681">
        <f t="shared" si="27"/>
        <v>0</v>
      </c>
      <c r="K72" s="689"/>
      <c r="L72" s="689"/>
      <c r="M72" s="689"/>
      <c r="N72" s="689"/>
      <c r="O72" s="689"/>
      <c r="Q72" s="681"/>
    </row>
    <row r="73" spans="1:17" x14ac:dyDescent="0.3">
      <c r="A73" s="692" t="s">
        <v>40</v>
      </c>
      <c r="B73" s="680"/>
      <c r="C73" s="680"/>
      <c r="D73" s="680"/>
      <c r="E73" s="680"/>
      <c r="F73" s="1119" t="e">
        <f>+SUM(F69:F72)</f>
        <v>#REF!</v>
      </c>
      <c r="G73" s="1119" t="e">
        <f t="shared" ref="G73:O73" si="28">+SUM(G69:G72)</f>
        <v>#REF!</v>
      </c>
      <c r="H73" s="1119" t="e">
        <f t="shared" si="28"/>
        <v>#REF!</v>
      </c>
      <c r="I73" s="1130">
        <f t="shared" si="28"/>
        <v>-21193.983680937497</v>
      </c>
      <c r="J73" s="1119">
        <f t="shared" si="28"/>
        <v>-33501.629394399999</v>
      </c>
      <c r="K73" s="680">
        <f t="shared" si="28"/>
        <v>0</v>
      </c>
      <c r="L73" s="680">
        <f t="shared" si="28"/>
        <v>0</v>
      </c>
      <c r="M73" s="680">
        <f t="shared" si="28"/>
        <v>0</v>
      </c>
      <c r="N73" s="680">
        <f t="shared" si="28"/>
        <v>0</v>
      </c>
      <c r="O73" s="680">
        <f t="shared" si="28"/>
        <v>0</v>
      </c>
      <c r="Q73" s="681"/>
    </row>
    <row r="74" spans="1:17" x14ac:dyDescent="0.3">
      <c r="A74" s="699" t="s">
        <v>42</v>
      </c>
      <c r="B74" s="694">
        <f>B73+B68+B67+B66+B65</f>
        <v>0</v>
      </c>
      <c r="C74" s="694">
        <f t="shared" ref="C74:O74" si="29">C73+C68+C67+C66+C65</f>
        <v>0</v>
      </c>
      <c r="D74" s="694">
        <f t="shared" si="29"/>
        <v>0</v>
      </c>
      <c r="E74" s="694">
        <f t="shared" si="29"/>
        <v>0</v>
      </c>
      <c r="F74" s="694" t="e">
        <f t="shared" si="29"/>
        <v>#REF!</v>
      </c>
      <c r="G74" s="694" t="e">
        <f t="shared" si="29"/>
        <v>#REF!</v>
      </c>
      <c r="H74" s="695" t="e">
        <f t="shared" si="29"/>
        <v>#REF!</v>
      </c>
      <c r="I74" s="694">
        <f t="shared" si="29"/>
        <v>-20193.983680937497</v>
      </c>
      <c r="J74" s="694">
        <f t="shared" si="29"/>
        <v>-31501.629394399999</v>
      </c>
      <c r="K74" s="694">
        <f t="shared" si="29"/>
        <v>1000</v>
      </c>
      <c r="L74" s="694">
        <f t="shared" si="29"/>
        <v>1000</v>
      </c>
      <c r="M74" s="694">
        <f t="shared" si="29"/>
        <v>1000</v>
      </c>
      <c r="N74" s="694">
        <f t="shared" si="29"/>
        <v>1000</v>
      </c>
      <c r="O74" s="694">
        <f t="shared" si="29"/>
        <v>1000</v>
      </c>
      <c r="Q74" s="694"/>
    </row>
    <row r="75" spans="1:17" x14ac:dyDescent="0.3">
      <c r="A75" s="699"/>
      <c r="B75" s="696" t="e">
        <f>+B74/B79</f>
        <v>#DIV/0!</v>
      </c>
      <c r="C75" s="696" t="e">
        <f t="shared" ref="C75:H75" si="30">+C74/C79</f>
        <v>#DIV/0!</v>
      </c>
      <c r="D75" s="696" t="e">
        <f t="shared" si="30"/>
        <v>#DIV/0!</v>
      </c>
      <c r="E75" s="696" t="e">
        <f t="shared" si="30"/>
        <v>#DIV/0!</v>
      </c>
      <c r="F75" s="696" t="e">
        <f t="shared" si="30"/>
        <v>#REF!</v>
      </c>
      <c r="G75" s="696" t="e">
        <f t="shared" si="30"/>
        <v>#REF!</v>
      </c>
      <c r="H75" s="697" t="e">
        <f t="shared" si="30"/>
        <v>#REF!</v>
      </c>
      <c r="I75" s="696">
        <f>+I74/I79</f>
        <v>0.56529472356326915</v>
      </c>
      <c r="J75" s="696">
        <f t="shared" ref="J75:O75" si="31">+J74/J79</f>
        <v>0.72298488333440003</v>
      </c>
      <c r="K75" s="696">
        <f t="shared" si="31"/>
        <v>1</v>
      </c>
      <c r="L75" s="696">
        <f t="shared" si="31"/>
        <v>1</v>
      </c>
      <c r="M75" s="696">
        <f t="shared" si="31"/>
        <v>1</v>
      </c>
      <c r="N75" s="696">
        <f t="shared" si="31"/>
        <v>1</v>
      </c>
      <c r="O75" s="696">
        <f t="shared" si="31"/>
        <v>1</v>
      </c>
      <c r="Q75" s="696"/>
    </row>
    <row r="76" spans="1:17" ht="24" x14ac:dyDescent="0.3">
      <c r="A76" s="700" t="s">
        <v>43</v>
      </c>
      <c r="B76" s="680"/>
      <c r="C76" s="680"/>
      <c r="D76" s="680"/>
      <c r="E76" s="680"/>
      <c r="F76" s="1131">
        <v>1500</v>
      </c>
      <c r="G76" s="1131">
        <v>2000</v>
      </c>
      <c r="H76" s="1131">
        <v>2000</v>
      </c>
      <c r="I76" s="1131">
        <v>2000</v>
      </c>
      <c r="J76" s="1131">
        <v>2000</v>
      </c>
      <c r="K76" s="680"/>
      <c r="L76" s="680"/>
      <c r="M76" s="680"/>
      <c r="N76" s="680"/>
      <c r="O76" s="680"/>
      <c r="Q76" s="680" t="s">
        <v>1152</v>
      </c>
    </row>
    <row r="77" spans="1:17" x14ac:dyDescent="0.3">
      <c r="A77" s="699" t="s">
        <v>44</v>
      </c>
      <c r="B77" s="694">
        <f t="shared" ref="B77:H77" si="32">+B76</f>
        <v>0</v>
      </c>
      <c r="C77" s="694">
        <f t="shared" si="32"/>
        <v>0</v>
      </c>
      <c r="D77" s="694">
        <f t="shared" si="32"/>
        <v>0</v>
      </c>
      <c r="E77" s="694">
        <f t="shared" si="32"/>
        <v>0</v>
      </c>
      <c r="F77" s="694">
        <f t="shared" si="32"/>
        <v>1500</v>
      </c>
      <c r="G77" s="694">
        <f t="shared" si="32"/>
        <v>2000</v>
      </c>
      <c r="H77" s="695">
        <f t="shared" si="32"/>
        <v>2000</v>
      </c>
      <c r="I77" s="694">
        <f>+I76</f>
        <v>2000</v>
      </c>
      <c r="J77" s="694">
        <f t="shared" ref="J77:O77" si="33">+J76</f>
        <v>2000</v>
      </c>
      <c r="K77" s="694">
        <f t="shared" si="33"/>
        <v>0</v>
      </c>
      <c r="L77" s="694">
        <f t="shared" si="33"/>
        <v>0</v>
      </c>
      <c r="M77" s="694">
        <f t="shared" si="33"/>
        <v>0</v>
      </c>
      <c r="N77" s="694">
        <f t="shared" si="33"/>
        <v>0</v>
      </c>
      <c r="O77" s="694">
        <f t="shared" si="33"/>
        <v>0</v>
      </c>
      <c r="Q77" s="694"/>
    </row>
    <row r="78" spans="1:17" x14ac:dyDescent="0.3">
      <c r="A78" s="699"/>
      <c r="B78" s="696" t="e">
        <f>B77/B79</f>
        <v>#DIV/0!</v>
      </c>
      <c r="C78" s="696" t="e">
        <f t="shared" ref="C78:H78" si="34">C77/C79</f>
        <v>#DIV/0!</v>
      </c>
      <c r="D78" s="696" t="e">
        <f t="shared" si="34"/>
        <v>#DIV/0!</v>
      </c>
      <c r="E78" s="696" t="e">
        <f t="shared" si="34"/>
        <v>#DIV/0!</v>
      </c>
      <c r="F78" s="696" t="e">
        <f t="shared" si="34"/>
        <v>#REF!</v>
      </c>
      <c r="G78" s="696" t="e">
        <f t="shared" si="34"/>
        <v>#REF!</v>
      </c>
      <c r="H78" s="697" t="e">
        <f t="shared" si="34"/>
        <v>#REF!</v>
      </c>
      <c r="I78" s="696">
        <f>I77/I79</f>
        <v>-5.5986449478701926E-2</v>
      </c>
      <c r="J78" s="696">
        <f t="shared" ref="J78:O78" si="35">J77/J79</f>
        <v>-4.5901427782203803E-2</v>
      </c>
      <c r="K78" s="696">
        <f t="shared" si="35"/>
        <v>0</v>
      </c>
      <c r="L78" s="696">
        <f t="shared" si="35"/>
        <v>0</v>
      </c>
      <c r="M78" s="696">
        <f t="shared" si="35"/>
        <v>0</v>
      </c>
      <c r="N78" s="696">
        <f t="shared" si="35"/>
        <v>0</v>
      </c>
      <c r="O78" s="696">
        <f t="shared" si="35"/>
        <v>0</v>
      </c>
      <c r="Q78" s="696"/>
    </row>
    <row r="79" spans="1:17" ht="12.5" thickBot="1" x14ac:dyDescent="0.35">
      <c r="A79" s="701" t="s">
        <v>418</v>
      </c>
      <c r="B79" s="702">
        <f>+B77+B74+B63</f>
        <v>0</v>
      </c>
      <c r="C79" s="702">
        <f>+C77+C74+C63</f>
        <v>0</v>
      </c>
      <c r="D79" s="702">
        <f>+D77+D74+D63</f>
        <v>0</v>
      </c>
      <c r="E79" s="702">
        <f>+E77+E74+E63</f>
        <v>0</v>
      </c>
      <c r="F79" s="702" t="e">
        <f>+F77+F74+F63</f>
        <v>#REF!</v>
      </c>
      <c r="G79" s="702" t="e">
        <f t="shared" ref="G79:O79" si="36">+G77+G74+G63</f>
        <v>#REF!</v>
      </c>
      <c r="H79" s="703" t="e">
        <f t="shared" si="36"/>
        <v>#REF!</v>
      </c>
      <c r="I79" s="704">
        <f t="shared" si="36"/>
        <v>-35722.929720000007</v>
      </c>
      <c r="J79" s="704">
        <f t="shared" si="36"/>
        <v>-43571.629394399999</v>
      </c>
      <c r="K79" s="704">
        <f t="shared" si="36"/>
        <v>1000</v>
      </c>
      <c r="L79" s="704">
        <f t="shared" si="36"/>
        <v>1000</v>
      </c>
      <c r="M79" s="704">
        <f t="shared" si="36"/>
        <v>1000</v>
      </c>
      <c r="N79" s="704">
        <f t="shared" si="36"/>
        <v>1000</v>
      </c>
      <c r="O79" s="704">
        <f t="shared" si="36"/>
        <v>1000</v>
      </c>
      <c r="Q79" s="704"/>
    </row>
    <row r="82" spans="1:17" x14ac:dyDescent="0.3">
      <c r="Q82" s="751"/>
    </row>
    <row r="83" spans="1:17" x14ac:dyDescent="0.3">
      <c r="A83" s="662" t="s">
        <v>416</v>
      </c>
      <c r="B83" s="663">
        <v>2014</v>
      </c>
      <c r="C83" s="664">
        <v>2015</v>
      </c>
      <c r="D83" s="664">
        <v>2016</v>
      </c>
      <c r="E83" s="646" t="s">
        <v>4</v>
      </c>
      <c r="F83" s="646" t="s">
        <v>5</v>
      </c>
      <c r="G83" s="646" t="s">
        <v>381</v>
      </c>
      <c r="H83" s="665" t="s">
        <v>555</v>
      </c>
      <c r="I83" s="646">
        <v>2021</v>
      </c>
      <c r="J83" s="646">
        <v>2022</v>
      </c>
      <c r="K83" s="646">
        <v>2023</v>
      </c>
      <c r="L83" s="646">
        <v>2024</v>
      </c>
      <c r="M83" s="646">
        <v>2025</v>
      </c>
      <c r="N83" s="646">
        <v>2026</v>
      </c>
      <c r="O83" s="646">
        <v>2027</v>
      </c>
      <c r="Q83" s="754"/>
    </row>
    <row r="84" spans="1:17" x14ac:dyDescent="0.3">
      <c r="A84" s="666" t="s">
        <v>380</v>
      </c>
      <c r="B84" s="648">
        <v>191849.52100000001</v>
      </c>
      <c r="C84" s="648">
        <f>175744.88</f>
        <v>175744.88</v>
      </c>
      <c r="D84" s="648">
        <v>207348</v>
      </c>
      <c r="E84" s="648">
        <f>209937.5-253.91399999999-30</f>
        <v>209653.58600000001</v>
      </c>
      <c r="F84" s="648">
        <f>227637.5-253.91399999999-30</f>
        <v>227353.58600000001</v>
      </c>
      <c r="G84" s="648">
        <f>227638-254.41399999999-30+20000</f>
        <v>247353.58600000001</v>
      </c>
      <c r="H84" s="667">
        <f>247637.820117187-254.234117187472-30</f>
        <v>247353.58599999952</v>
      </c>
      <c r="I84" s="668">
        <f>I115</f>
        <v>0</v>
      </c>
      <c r="J84" s="668">
        <f t="shared" ref="J84:O84" si="37">J115</f>
        <v>0</v>
      </c>
      <c r="K84" s="648">
        <f t="shared" si="37"/>
        <v>0</v>
      </c>
      <c r="L84" s="648">
        <f t="shared" si="37"/>
        <v>0</v>
      </c>
      <c r="M84" s="648">
        <f t="shared" si="37"/>
        <v>0</v>
      </c>
      <c r="N84" s="648">
        <f t="shared" si="37"/>
        <v>0</v>
      </c>
      <c r="O84" s="648">
        <f t="shared" si="37"/>
        <v>0</v>
      </c>
      <c r="Q84" s="753"/>
    </row>
    <row r="85" spans="1:17" x14ac:dyDescent="0.3">
      <c r="A85" s="666" t="s">
        <v>556</v>
      </c>
      <c r="B85" s="648">
        <v>46233.226999999999</v>
      </c>
      <c r="C85" s="669">
        <f>65793</f>
        <v>65793</v>
      </c>
      <c r="D85" s="670">
        <v>31475.5</v>
      </c>
      <c r="E85" s="670">
        <v>48382</v>
      </c>
      <c r="F85" s="670">
        <v>45475</v>
      </c>
      <c r="G85" s="670">
        <v>23120</v>
      </c>
      <c r="H85" s="671"/>
      <c r="I85" s="668"/>
      <c r="J85" s="668"/>
      <c r="K85" s="648"/>
      <c r="L85" s="648"/>
      <c r="M85" s="648"/>
      <c r="N85" s="648"/>
      <c r="O85" s="648"/>
      <c r="Q85" s="753"/>
    </row>
    <row r="86" spans="1:17" x14ac:dyDescent="0.3">
      <c r="A86" s="672" t="s">
        <v>412</v>
      </c>
      <c r="B86" s="673">
        <f>B84+B85</f>
        <v>238082.74800000002</v>
      </c>
      <c r="C86" s="673">
        <f>C84+C85</f>
        <v>241537.88</v>
      </c>
      <c r="D86" s="673">
        <f>D84+D85</f>
        <v>238823.5</v>
      </c>
      <c r="E86" s="673">
        <f t="shared" ref="E86" si="38">E84+E85</f>
        <v>258035.58600000001</v>
      </c>
      <c r="F86" s="673">
        <f>F84+F85</f>
        <v>272828.58600000001</v>
      </c>
      <c r="G86" s="673">
        <f t="shared" ref="G86:O86" si="39">G84+G85</f>
        <v>270473.58600000001</v>
      </c>
      <c r="H86" s="674">
        <f t="shared" si="39"/>
        <v>247353.58599999952</v>
      </c>
      <c r="I86" s="673">
        <f t="shared" si="39"/>
        <v>0</v>
      </c>
      <c r="J86" s="673">
        <f t="shared" si="39"/>
        <v>0</v>
      </c>
      <c r="K86" s="673">
        <f t="shared" si="39"/>
        <v>0</v>
      </c>
      <c r="L86" s="673">
        <f t="shared" si="39"/>
        <v>0</v>
      </c>
      <c r="M86" s="673">
        <f t="shared" si="39"/>
        <v>0</v>
      </c>
      <c r="N86" s="673">
        <f t="shared" si="39"/>
        <v>0</v>
      </c>
      <c r="O86" s="673">
        <f t="shared" si="39"/>
        <v>0</v>
      </c>
      <c r="Q86" s="676"/>
    </row>
    <row r="87" spans="1:17" x14ac:dyDescent="0.3">
      <c r="A87" s="675"/>
      <c r="B87" s="676"/>
      <c r="C87" s="676"/>
      <c r="D87" s="676"/>
      <c r="E87" s="676"/>
      <c r="F87" s="676"/>
      <c r="G87" s="676"/>
      <c r="H87" s="677"/>
      <c r="I87" s="676"/>
      <c r="J87" s="676"/>
      <c r="K87" s="676"/>
      <c r="L87" s="676"/>
      <c r="M87" s="676"/>
      <c r="N87" s="676"/>
      <c r="O87" s="676"/>
      <c r="Q87" s="1123" t="s">
        <v>1157</v>
      </c>
    </row>
    <row r="88" spans="1:17" x14ac:dyDescent="0.3">
      <c r="A88" s="678" t="s">
        <v>417</v>
      </c>
      <c r="B88" s="646">
        <v>2014</v>
      </c>
      <c r="C88" s="646">
        <v>2015</v>
      </c>
      <c r="D88" s="646">
        <v>2016</v>
      </c>
      <c r="E88" s="646">
        <v>2017</v>
      </c>
      <c r="F88" s="646">
        <v>2018</v>
      </c>
      <c r="G88" s="646">
        <v>2019</v>
      </c>
      <c r="H88" s="665">
        <v>2020</v>
      </c>
      <c r="I88" s="646">
        <v>2021</v>
      </c>
      <c r="J88" s="646">
        <v>2022</v>
      </c>
      <c r="K88" s="646">
        <v>2023</v>
      </c>
      <c r="L88" s="646">
        <v>2024</v>
      </c>
      <c r="M88" s="646">
        <v>2025</v>
      </c>
      <c r="N88" s="646">
        <v>2026</v>
      </c>
      <c r="O88" s="646">
        <v>2027</v>
      </c>
      <c r="Q88" s="752" t="s">
        <v>582</v>
      </c>
    </row>
    <row r="89" spans="1:17" x14ac:dyDescent="0.3">
      <c r="A89" s="679" t="s">
        <v>23</v>
      </c>
      <c r="B89" s="680">
        <f>+B16+B54</f>
        <v>48555</v>
      </c>
      <c r="C89" s="680">
        <f t="shared" ref="C89:O89" si="40">+C16+C54</f>
        <v>50376</v>
      </c>
      <c r="D89" s="680">
        <f t="shared" si="40"/>
        <v>47623</v>
      </c>
      <c r="E89" s="680">
        <f t="shared" si="40"/>
        <v>49081.69</v>
      </c>
      <c r="F89" s="1118">
        <v>44491.358999999997</v>
      </c>
      <c r="G89" s="1118">
        <v>43219</v>
      </c>
      <c r="H89" s="1118">
        <v>43350</v>
      </c>
      <c r="I89" s="1118">
        <v>45370</v>
      </c>
      <c r="J89" s="1118">
        <v>47330</v>
      </c>
      <c r="K89" s="680">
        <f t="shared" si="40"/>
        <v>57784.999999999971</v>
      </c>
      <c r="L89" s="680">
        <f t="shared" si="40"/>
        <v>59204.624999999985</v>
      </c>
      <c r="M89" s="680">
        <f t="shared" si="40"/>
        <v>60659.740624999977</v>
      </c>
      <c r="N89" s="680">
        <f t="shared" si="40"/>
        <v>62151.234140624969</v>
      </c>
      <c r="O89" s="680">
        <f t="shared" si="40"/>
        <v>63680.014994140591</v>
      </c>
      <c r="Q89" s="680"/>
    </row>
    <row r="90" spans="1:17" x14ac:dyDescent="0.3">
      <c r="A90" s="684" t="s">
        <v>436</v>
      </c>
      <c r="B90" s="680">
        <f t="shared" ref="B90:O97" si="41">+B17+B55</f>
        <v>6180</v>
      </c>
      <c r="C90" s="680">
        <f t="shared" si="41"/>
        <v>6334.4999999999991</v>
      </c>
      <c r="D90" s="680">
        <f t="shared" si="41"/>
        <v>8493</v>
      </c>
      <c r="E90" s="680">
        <f t="shared" si="41"/>
        <v>8000</v>
      </c>
      <c r="F90" s="1118">
        <f>+Kruusateed_IK18.07!N14/1000</f>
        <v>8524</v>
      </c>
      <c r="G90" s="1118">
        <f>+Kruusateed_IK18.07!N262/1000</f>
        <v>8277</v>
      </c>
      <c r="H90" s="1118">
        <f>+Kruusateed_IK18.07!N391/1000</f>
        <v>8560</v>
      </c>
      <c r="I90" s="680">
        <f t="shared" si="41"/>
        <v>8741.2000000000007</v>
      </c>
      <c r="J90" s="680">
        <f t="shared" si="41"/>
        <v>8926.0240000000013</v>
      </c>
      <c r="K90" s="680">
        <f t="shared" si="41"/>
        <v>9114.5444800000023</v>
      </c>
      <c r="L90" s="680">
        <f t="shared" si="41"/>
        <v>9306.8353696000031</v>
      </c>
      <c r="M90" s="680">
        <f t="shared" si="41"/>
        <v>9502.9720769920041</v>
      </c>
      <c r="N90" s="680">
        <f t="shared" si="41"/>
        <v>9703.031518531845</v>
      </c>
      <c r="O90" s="680">
        <f t="shared" si="41"/>
        <v>9907.0921489024822</v>
      </c>
      <c r="Q90" s="680"/>
    </row>
    <row r="91" spans="1:17" x14ac:dyDescent="0.3">
      <c r="A91" s="685" t="s">
        <v>568</v>
      </c>
      <c r="B91" s="680">
        <f t="shared" si="41"/>
        <v>22301</v>
      </c>
      <c r="C91" s="680">
        <f t="shared" si="41"/>
        <v>18841.916761176471</v>
      </c>
      <c r="D91" s="680">
        <f t="shared" si="41"/>
        <v>20000</v>
      </c>
      <c r="E91" s="680">
        <f t="shared" si="41"/>
        <v>19500</v>
      </c>
      <c r="F91" s="680">
        <f t="shared" si="41"/>
        <v>20000</v>
      </c>
      <c r="G91" s="680">
        <f t="shared" si="41"/>
        <v>19512.499999999996</v>
      </c>
      <c r="H91" s="680">
        <f t="shared" si="41"/>
        <v>19037.812499999993</v>
      </c>
      <c r="I91" s="680">
        <f t="shared" si="41"/>
        <v>19468.568749999991</v>
      </c>
      <c r="J91" s="680">
        <f t="shared" si="41"/>
        <v>19907.94012499999</v>
      </c>
      <c r="K91" s="680">
        <f t="shared" si="41"/>
        <v>22356.098927499992</v>
      </c>
      <c r="L91" s="680">
        <f t="shared" si="41"/>
        <v>22813.220906049992</v>
      </c>
      <c r="M91" s="680">
        <f t="shared" si="41"/>
        <v>23279.485324170993</v>
      </c>
      <c r="N91" s="680">
        <f t="shared" si="41"/>
        <v>23755.075030654414</v>
      </c>
      <c r="O91" s="680">
        <f t="shared" si="41"/>
        <v>24240.176531267502</v>
      </c>
      <c r="Q91" s="680"/>
    </row>
    <row r="92" spans="1:17" x14ac:dyDescent="0.3">
      <c r="A92" s="685" t="s">
        <v>26</v>
      </c>
      <c r="B92" s="680">
        <f t="shared" si="41"/>
        <v>27500</v>
      </c>
      <c r="C92" s="680">
        <f t="shared" si="41"/>
        <v>22788.499999999996</v>
      </c>
      <c r="D92" s="680">
        <f t="shared" si="41"/>
        <v>23000</v>
      </c>
      <c r="E92" s="680">
        <f t="shared" si="41"/>
        <v>23000</v>
      </c>
      <c r="F92" s="680">
        <f t="shared" si="41"/>
        <v>23574.999999999996</v>
      </c>
      <c r="G92" s="680">
        <f t="shared" si="41"/>
        <v>20164.374999999993</v>
      </c>
      <c r="H92" s="680">
        <f t="shared" si="41"/>
        <v>22768.484374999989</v>
      </c>
      <c r="I92" s="680">
        <f t="shared" si="41"/>
        <v>22263.854062499988</v>
      </c>
      <c r="J92" s="680">
        <f t="shared" si="41"/>
        <v>22769.131143749986</v>
      </c>
      <c r="K92" s="680">
        <f t="shared" si="41"/>
        <v>26284.513766624987</v>
      </c>
      <c r="L92" s="680">
        <f t="shared" si="41"/>
        <v>26810.204041957488</v>
      </c>
      <c r="M92" s="680">
        <f t="shared" si="41"/>
        <v>27346.408122796638</v>
      </c>
      <c r="N92" s="680">
        <f t="shared" si="41"/>
        <v>27893.336285252572</v>
      </c>
      <c r="O92" s="680">
        <f t="shared" si="41"/>
        <v>28451.203010957623</v>
      </c>
      <c r="Q92" s="680"/>
    </row>
    <row r="93" spans="1:17" x14ac:dyDescent="0.3">
      <c r="A93" s="687" t="s">
        <v>446</v>
      </c>
      <c r="B93" s="680">
        <f t="shared" si="41"/>
        <v>8629</v>
      </c>
      <c r="C93" s="680">
        <f t="shared" si="41"/>
        <v>6844.7250000000004</v>
      </c>
      <c r="D93" s="680">
        <f t="shared" si="41"/>
        <v>7000</v>
      </c>
      <c r="E93" s="680">
        <f t="shared" si="41"/>
        <v>7174.9999999999991</v>
      </c>
      <c r="F93" s="1118">
        <f>+Sillad_IK15.08!P86/1000</f>
        <v>5074.2280000000001</v>
      </c>
      <c r="G93" s="1118">
        <f>+Sillad_IK15.08!Q86/1000</f>
        <v>5064.6279999999997</v>
      </c>
      <c r="H93" s="1118">
        <f>+Sillad_IK15.08!R86/1000</f>
        <v>5037.2280000000001</v>
      </c>
      <c r="I93" s="1118">
        <f>+Sillad_IK15.08!S86/1000</f>
        <v>5032.6279999999997</v>
      </c>
      <c r="J93" s="680">
        <f t="shared" si="41"/>
        <v>8038.8485198437465</v>
      </c>
      <c r="K93" s="680">
        <f t="shared" si="41"/>
        <v>8199.6254902406217</v>
      </c>
      <c r="L93" s="680">
        <f t="shared" si="41"/>
        <v>8363.6180000454351</v>
      </c>
      <c r="M93" s="680">
        <f t="shared" si="41"/>
        <v>8530.8903600463436</v>
      </c>
      <c r="N93" s="680">
        <f t="shared" si="41"/>
        <v>8701.5081672472716</v>
      </c>
      <c r="O93" s="680">
        <f t="shared" si="41"/>
        <v>8875.5383305922169</v>
      </c>
      <c r="Q93" s="680"/>
    </row>
    <row r="94" spans="1:17" x14ac:dyDescent="0.3">
      <c r="A94" s="688" t="s">
        <v>28</v>
      </c>
      <c r="B94" s="680">
        <f t="shared" si="41"/>
        <v>21208.5</v>
      </c>
      <c r="C94" s="680">
        <f t="shared" si="41"/>
        <v>21130.400000000005</v>
      </c>
      <c r="D94" s="680">
        <f t="shared" si="41"/>
        <v>33029.5</v>
      </c>
      <c r="E94" s="680">
        <f t="shared" si="41"/>
        <v>41097.999999999993</v>
      </c>
      <c r="F94" s="1118">
        <f>+'REK_IK15.08'!P110*1000</f>
        <v>52940</v>
      </c>
      <c r="G94" s="1118">
        <f>+'REK_IK15.08'!R111*1000</f>
        <v>51330</v>
      </c>
      <c r="H94" s="1118">
        <f>+'REK_IK15.08'!T127*1000</f>
        <v>47460.000000000007</v>
      </c>
      <c r="I94" s="1118">
        <f>+'REK_IK15.08'!U127*1000</f>
        <v>47741.44999999999</v>
      </c>
      <c r="J94" s="680">
        <f t="shared" si="41"/>
        <v>49916.636000000006</v>
      </c>
      <c r="K94" s="680">
        <f t="shared" si="41"/>
        <v>61114.968720000004</v>
      </c>
      <c r="L94" s="680">
        <f t="shared" si="41"/>
        <v>62337.268094400002</v>
      </c>
      <c r="M94" s="680">
        <f t="shared" si="41"/>
        <v>63584.013456288005</v>
      </c>
      <c r="N94" s="680">
        <f t="shared" si="41"/>
        <v>64855.693725413767</v>
      </c>
      <c r="O94" s="680">
        <f t="shared" si="41"/>
        <v>66152.807599922045</v>
      </c>
      <c r="Q94" s="680"/>
    </row>
    <row r="95" spans="1:17" x14ac:dyDescent="0.3">
      <c r="A95" s="688" t="s">
        <v>29</v>
      </c>
      <c r="B95" s="680">
        <f t="shared" si="41"/>
        <v>3300</v>
      </c>
      <c r="C95" s="680">
        <f t="shared" si="41"/>
        <v>5903.9999999999982</v>
      </c>
      <c r="D95" s="680">
        <f t="shared" si="41"/>
        <v>2179.5000000000005</v>
      </c>
      <c r="E95" s="680">
        <f t="shared" si="41"/>
        <v>0</v>
      </c>
      <c r="F95" s="680">
        <f t="shared" si="41"/>
        <v>0.15002140541862882</v>
      </c>
      <c r="G95" s="680">
        <f t="shared" si="41"/>
        <v>0</v>
      </c>
      <c r="H95" s="680">
        <f t="shared" si="41"/>
        <v>0</v>
      </c>
      <c r="I95" s="680">
        <f t="shared" si="41"/>
        <v>0</v>
      </c>
      <c r="J95" s="680">
        <f t="shared" si="41"/>
        <v>0</v>
      </c>
      <c r="K95" s="680">
        <f t="shared" si="41"/>
        <v>0</v>
      </c>
      <c r="L95" s="680">
        <f t="shared" si="41"/>
        <v>0</v>
      </c>
      <c r="M95" s="680">
        <f t="shared" si="41"/>
        <v>0</v>
      </c>
      <c r="N95" s="680">
        <f t="shared" si="41"/>
        <v>0</v>
      </c>
      <c r="O95" s="680">
        <f t="shared" si="41"/>
        <v>0</v>
      </c>
      <c r="Q95" s="680"/>
    </row>
    <row r="96" spans="1:17" x14ac:dyDescent="0.3">
      <c r="A96" s="688" t="s">
        <v>30</v>
      </c>
      <c r="B96" s="680">
        <f t="shared" si="41"/>
        <v>18700</v>
      </c>
      <c r="C96" s="680">
        <f t="shared" si="41"/>
        <v>33455.999999999993</v>
      </c>
      <c r="D96" s="680">
        <f t="shared" si="41"/>
        <v>12350.499999999998</v>
      </c>
      <c r="E96" s="680">
        <f t="shared" si="41"/>
        <v>0</v>
      </c>
      <c r="F96" s="680">
        <f t="shared" si="41"/>
        <v>0</v>
      </c>
      <c r="G96" s="680">
        <f t="shared" si="41"/>
        <v>0</v>
      </c>
      <c r="H96" s="680">
        <f t="shared" si="41"/>
        <v>0</v>
      </c>
      <c r="I96" s="680">
        <f t="shared" si="41"/>
        <v>0</v>
      </c>
      <c r="J96" s="680">
        <f t="shared" si="41"/>
        <v>0</v>
      </c>
      <c r="K96" s="680">
        <f t="shared" si="41"/>
        <v>0</v>
      </c>
      <c r="L96" s="680">
        <f t="shared" si="41"/>
        <v>0</v>
      </c>
      <c r="M96" s="680">
        <f t="shared" si="41"/>
        <v>0</v>
      </c>
      <c r="N96" s="680">
        <f t="shared" si="41"/>
        <v>0</v>
      </c>
      <c r="O96" s="680">
        <f t="shared" si="41"/>
        <v>0</v>
      </c>
      <c r="Q96" s="680"/>
    </row>
    <row r="97" spans="1:17" x14ac:dyDescent="0.3">
      <c r="A97" s="692" t="s">
        <v>31</v>
      </c>
      <c r="B97" s="680">
        <f t="shared" si="41"/>
        <v>43208.5</v>
      </c>
      <c r="C97" s="680">
        <f t="shared" si="41"/>
        <v>60490.399999999994</v>
      </c>
      <c r="D97" s="680">
        <f t="shared" si="41"/>
        <v>47559.5</v>
      </c>
      <c r="E97" s="680">
        <f t="shared" si="41"/>
        <v>41097.999999999993</v>
      </c>
      <c r="F97" s="1118">
        <f>+F94</f>
        <v>52940</v>
      </c>
      <c r="G97" s="1118">
        <f>+G94</f>
        <v>51330</v>
      </c>
      <c r="H97" s="1118">
        <f>+H94</f>
        <v>47460.000000000007</v>
      </c>
      <c r="I97" s="1118">
        <f>+I94</f>
        <v>47741.44999999999</v>
      </c>
      <c r="J97" s="680">
        <f t="shared" si="41"/>
        <v>49916.636000000006</v>
      </c>
      <c r="K97" s="680">
        <f t="shared" si="41"/>
        <v>61114.968720000004</v>
      </c>
      <c r="L97" s="680">
        <f t="shared" si="41"/>
        <v>62337.268094400002</v>
      </c>
      <c r="M97" s="680">
        <f t="shared" si="41"/>
        <v>63584.013456288005</v>
      </c>
      <c r="N97" s="680">
        <f t="shared" si="41"/>
        <v>64855.693725413767</v>
      </c>
      <c r="O97" s="680">
        <f t="shared" si="41"/>
        <v>66152.807599922045</v>
      </c>
      <c r="Q97" s="680"/>
    </row>
    <row r="98" spans="1:17" x14ac:dyDescent="0.3">
      <c r="A98" s="693" t="s">
        <v>32</v>
      </c>
      <c r="B98" s="694">
        <f t="shared" ref="B98:O98" si="42">+B97+B93+B92+B91+B90+B89</f>
        <v>156373.5</v>
      </c>
      <c r="C98" s="694">
        <f t="shared" si="42"/>
        <v>165676.04176117649</v>
      </c>
      <c r="D98" s="694">
        <f t="shared" si="42"/>
        <v>153675.5</v>
      </c>
      <c r="E98" s="694">
        <f t="shared" si="42"/>
        <v>147854.69</v>
      </c>
      <c r="F98" s="694">
        <f t="shared" si="42"/>
        <v>154604.587</v>
      </c>
      <c r="G98" s="694">
        <f t="shared" si="42"/>
        <v>147567.503</v>
      </c>
      <c r="H98" s="695">
        <f t="shared" si="42"/>
        <v>146213.524875</v>
      </c>
      <c r="I98" s="694">
        <f t="shared" si="42"/>
        <v>148617.70081249997</v>
      </c>
      <c r="J98" s="694">
        <f t="shared" si="42"/>
        <v>156888.57978859375</v>
      </c>
      <c r="K98" s="694">
        <f t="shared" si="42"/>
        <v>184854.75138436555</v>
      </c>
      <c r="L98" s="694">
        <f t="shared" si="42"/>
        <v>188835.77141205291</v>
      </c>
      <c r="M98" s="694">
        <f t="shared" si="42"/>
        <v>192903.50996529395</v>
      </c>
      <c r="N98" s="694">
        <f t="shared" si="42"/>
        <v>197059.87886772482</v>
      </c>
      <c r="O98" s="694">
        <f t="shared" si="42"/>
        <v>201306.83261578245</v>
      </c>
      <c r="Q98" s="694"/>
    </row>
    <row r="99" spans="1:17" x14ac:dyDescent="0.3">
      <c r="A99" s="693"/>
      <c r="B99" s="696">
        <f t="shared" ref="B99:O99" si="43">+B98/B114</f>
        <v>0.65680383900538675</v>
      </c>
      <c r="C99" s="696">
        <f t="shared" si="43"/>
        <v>0.68592041724805419</v>
      </c>
      <c r="D99" s="696">
        <f t="shared" si="43"/>
        <v>0.64346892160947311</v>
      </c>
      <c r="E99" s="696">
        <f t="shared" si="43"/>
        <v>0.57300115961524778</v>
      </c>
      <c r="F99" s="696" t="e">
        <f t="shared" si="43"/>
        <v>#REF!</v>
      </c>
      <c r="G99" s="696" t="e">
        <f t="shared" si="43"/>
        <v>#REF!</v>
      </c>
      <c r="H99" s="697" t="e">
        <f t="shared" si="43"/>
        <v>#REF!</v>
      </c>
      <c r="I99" s="696">
        <f t="shared" si="43"/>
        <v>0.60105341037286686</v>
      </c>
      <c r="J99" s="696">
        <f t="shared" si="43"/>
        <v>0.6345032618251798</v>
      </c>
      <c r="K99" s="696">
        <f t="shared" si="43"/>
        <v>0.64909746447745076</v>
      </c>
      <c r="L99" s="696">
        <f t="shared" si="43"/>
        <v>0.66293747889897336</v>
      </c>
      <c r="M99" s="696">
        <f t="shared" si="43"/>
        <v>0.66515012906048321</v>
      </c>
      <c r="N99" s="696">
        <f t="shared" si="43"/>
        <v>0.66733544024468916</v>
      </c>
      <c r="O99" s="696">
        <f t="shared" si="43"/>
        <v>0.68081466153018788</v>
      </c>
      <c r="Q99" s="696"/>
    </row>
    <row r="100" spans="1:17" x14ac:dyDescent="0.3">
      <c r="A100" s="698" t="s">
        <v>33</v>
      </c>
      <c r="B100" s="680">
        <f>+B27+B65</f>
        <v>5000</v>
      </c>
      <c r="C100" s="680">
        <f t="shared" ref="C100:O100" si="44">+C27+C65</f>
        <v>5000</v>
      </c>
      <c r="D100" s="680">
        <f t="shared" si="44"/>
        <v>4500</v>
      </c>
      <c r="E100" s="680">
        <f t="shared" si="44"/>
        <v>4612.5</v>
      </c>
      <c r="F100" s="1131">
        <f t="shared" si="44"/>
        <v>5727.8125</v>
      </c>
      <c r="G100" s="1131">
        <f t="shared" si="44"/>
        <v>5346.0078125</v>
      </c>
      <c r="H100" s="1131">
        <f t="shared" si="44"/>
        <v>5467.1580078124998</v>
      </c>
      <c r="I100" s="1131">
        <f t="shared" si="44"/>
        <v>6066.5011679687495</v>
      </c>
      <c r="J100" s="1131">
        <f t="shared" si="44"/>
        <v>6167.831191328125</v>
      </c>
      <c r="K100" s="680">
        <f t="shared" si="44"/>
        <v>6271.187815154688</v>
      </c>
      <c r="L100" s="680">
        <f t="shared" si="44"/>
        <v>6376.6115714577818</v>
      </c>
      <c r="M100" s="680">
        <f t="shared" si="44"/>
        <v>6484.1438028869379</v>
      </c>
      <c r="N100" s="680">
        <f t="shared" si="44"/>
        <v>6593.826678944677</v>
      </c>
      <c r="O100" s="680">
        <f t="shared" si="44"/>
        <v>6705.703212523571</v>
      </c>
      <c r="Q100" s="680"/>
    </row>
    <row r="101" spans="1:17" x14ac:dyDescent="0.3">
      <c r="A101" s="687" t="s">
        <v>34</v>
      </c>
      <c r="B101" s="680">
        <f t="shared" ref="B101:O108" si="45">+B28+B66</f>
        <v>500</v>
      </c>
      <c r="C101" s="680">
        <f t="shared" si="45"/>
        <v>500</v>
      </c>
      <c r="D101" s="680">
        <f t="shared" si="45"/>
        <v>1000</v>
      </c>
      <c r="E101" s="680">
        <f t="shared" si="45"/>
        <v>735</v>
      </c>
      <c r="F101" s="680">
        <f t="shared" si="45"/>
        <v>500.25</v>
      </c>
      <c r="G101" s="680">
        <f t="shared" si="45"/>
        <v>500.25</v>
      </c>
      <c r="H101" s="680">
        <f t="shared" si="45"/>
        <v>500.25</v>
      </c>
      <c r="I101" s="680">
        <f t="shared" si="45"/>
        <v>510.255</v>
      </c>
      <c r="J101" s="680">
        <f t="shared" si="45"/>
        <v>520.46010000000001</v>
      </c>
      <c r="K101" s="680">
        <f t="shared" si="45"/>
        <v>530.86930200000006</v>
      </c>
      <c r="L101" s="680">
        <f t="shared" si="45"/>
        <v>541.4866880400001</v>
      </c>
      <c r="M101" s="680">
        <f t="shared" si="45"/>
        <v>552.31642180080007</v>
      </c>
      <c r="N101" s="680">
        <f t="shared" si="45"/>
        <v>563.36275023681605</v>
      </c>
      <c r="O101" s="680">
        <f t="shared" si="45"/>
        <v>574.63000524155234</v>
      </c>
      <c r="Q101" s="680"/>
    </row>
    <row r="102" spans="1:17" x14ac:dyDescent="0.3">
      <c r="A102" s="687" t="s">
        <v>35</v>
      </c>
      <c r="B102" s="680">
        <f t="shared" si="45"/>
        <v>7000</v>
      </c>
      <c r="C102" s="680">
        <f t="shared" si="45"/>
        <v>5000</v>
      </c>
      <c r="D102" s="680">
        <f t="shared" si="45"/>
        <v>10123</v>
      </c>
      <c r="E102" s="680">
        <f t="shared" si="45"/>
        <v>7000</v>
      </c>
      <c r="F102" s="680">
        <f t="shared" si="45"/>
        <v>6000</v>
      </c>
      <c r="G102" s="680">
        <f t="shared" si="45"/>
        <v>6000</v>
      </c>
      <c r="H102" s="680">
        <f t="shared" si="45"/>
        <v>6000</v>
      </c>
      <c r="I102" s="680">
        <f t="shared" si="45"/>
        <v>6180</v>
      </c>
      <c r="J102" s="1131">
        <f t="shared" si="45"/>
        <v>6363.6</v>
      </c>
      <c r="K102" s="680">
        <f t="shared" si="45"/>
        <v>9550.8720000000012</v>
      </c>
      <c r="L102" s="680">
        <f t="shared" si="45"/>
        <v>9741.8894400000008</v>
      </c>
      <c r="M102" s="680">
        <f t="shared" si="45"/>
        <v>9936.7272288000004</v>
      </c>
      <c r="N102" s="680">
        <f t="shared" si="45"/>
        <v>10135.461773376001</v>
      </c>
      <c r="O102" s="680">
        <f t="shared" si="45"/>
        <v>10338.171008843521</v>
      </c>
      <c r="Q102" s="680"/>
    </row>
    <row r="103" spans="1:17" x14ac:dyDescent="0.3">
      <c r="A103" s="692" t="s">
        <v>569</v>
      </c>
      <c r="B103" s="680">
        <f t="shared" si="45"/>
        <v>4000</v>
      </c>
      <c r="C103" s="680">
        <f t="shared" si="45"/>
        <v>3000</v>
      </c>
      <c r="D103" s="680">
        <f t="shared" si="45"/>
        <v>10771</v>
      </c>
      <c r="E103" s="680">
        <f t="shared" si="45"/>
        <v>7345</v>
      </c>
      <c r="F103" s="680">
        <f t="shared" si="45"/>
        <v>6000</v>
      </c>
      <c r="G103" s="680">
        <f t="shared" si="45"/>
        <v>6000</v>
      </c>
      <c r="H103" s="680">
        <f t="shared" si="45"/>
        <v>4000</v>
      </c>
      <c r="I103" s="680">
        <f t="shared" si="45"/>
        <v>4200</v>
      </c>
      <c r="J103" s="680">
        <f t="shared" si="45"/>
        <v>4404</v>
      </c>
      <c r="K103" s="680">
        <f t="shared" si="45"/>
        <v>10612.08</v>
      </c>
      <c r="L103" s="680">
        <f t="shared" si="45"/>
        <v>10824.321599999999</v>
      </c>
      <c r="M103" s="680">
        <f t="shared" si="45"/>
        <v>11040.808031999999</v>
      </c>
      <c r="N103" s="680">
        <f t="shared" si="45"/>
        <v>11261.62419264</v>
      </c>
      <c r="O103" s="680">
        <f t="shared" si="45"/>
        <v>11486.8566764928</v>
      </c>
      <c r="Q103" s="680"/>
    </row>
    <row r="104" spans="1:17" x14ac:dyDescent="0.3">
      <c r="A104" s="688" t="s">
        <v>28</v>
      </c>
      <c r="B104" s="680">
        <f t="shared" si="45"/>
        <v>12000</v>
      </c>
      <c r="C104" s="680">
        <f t="shared" si="45"/>
        <v>2000</v>
      </c>
      <c r="D104" s="680">
        <f t="shared" si="45"/>
        <v>11561</v>
      </c>
      <c r="E104" s="680">
        <f t="shared" si="45"/>
        <v>8500</v>
      </c>
      <c r="F104" s="1118" t="e">
        <f>+#REF!*1000</f>
        <v>#REF!</v>
      </c>
      <c r="G104" s="1118" t="e">
        <f>+#REF!*1000</f>
        <v>#REF!</v>
      </c>
      <c r="H104" s="1118" t="e">
        <f>+#REF!*1000</f>
        <v>#REF!</v>
      </c>
      <c r="I104" s="1139">
        <f>88000-35193.9836809375</f>
        <v>52806.016319062503</v>
      </c>
      <c r="J104" s="1139">
        <f>82000-38501.6293944</f>
        <v>43498.370605600001</v>
      </c>
      <c r="K104" s="680">
        <f t="shared" si="45"/>
        <v>45000</v>
      </c>
      <c r="L104" s="680">
        <f t="shared" si="45"/>
        <v>40000</v>
      </c>
      <c r="M104" s="680">
        <f t="shared" si="45"/>
        <v>40000</v>
      </c>
      <c r="N104" s="680">
        <f t="shared" si="45"/>
        <v>40000</v>
      </c>
      <c r="O104" s="680">
        <f t="shared" si="45"/>
        <v>35000</v>
      </c>
      <c r="Q104" s="680" t="s">
        <v>1165</v>
      </c>
    </row>
    <row r="105" spans="1:17" x14ac:dyDescent="0.3">
      <c r="A105" s="688" t="s">
        <v>37</v>
      </c>
      <c r="B105" s="680">
        <f t="shared" si="45"/>
        <v>1500</v>
      </c>
      <c r="C105" s="680">
        <f t="shared" si="45"/>
        <v>5911.8940152941195</v>
      </c>
      <c r="D105" s="680">
        <f t="shared" si="45"/>
        <v>3375</v>
      </c>
      <c r="E105" s="680">
        <f t="shared" si="45"/>
        <v>8538</v>
      </c>
      <c r="F105" s="1118" t="e">
        <f>+#REF!*1000</f>
        <v>#REF!</v>
      </c>
      <c r="G105" s="1118" t="e">
        <f>+#REF!*1000</f>
        <v>#REF!</v>
      </c>
      <c r="H105" s="1118" t="e">
        <f>+#REF!*1000</f>
        <v>#REF!</v>
      </c>
      <c r="I105" s="680">
        <f t="shared" si="45"/>
        <v>0</v>
      </c>
      <c r="J105" s="680">
        <f t="shared" si="45"/>
        <v>0</v>
      </c>
      <c r="K105" s="680">
        <f t="shared" si="45"/>
        <v>0</v>
      </c>
      <c r="L105" s="680">
        <f t="shared" si="45"/>
        <v>0</v>
      </c>
      <c r="M105" s="680">
        <f t="shared" si="45"/>
        <v>0</v>
      </c>
      <c r="N105" s="680">
        <f t="shared" si="45"/>
        <v>0</v>
      </c>
      <c r="O105" s="680">
        <f t="shared" si="45"/>
        <v>0</v>
      </c>
      <c r="Q105" s="680"/>
    </row>
    <row r="106" spans="1:17" x14ac:dyDescent="0.3">
      <c r="A106" s="688" t="s">
        <v>38</v>
      </c>
      <c r="B106" s="680">
        <f t="shared" si="45"/>
        <v>8500</v>
      </c>
      <c r="C106" s="680">
        <f t="shared" si="45"/>
        <v>15268.884930000007</v>
      </c>
      <c r="D106" s="680">
        <f t="shared" si="45"/>
        <v>19125</v>
      </c>
      <c r="E106" s="680">
        <f t="shared" si="45"/>
        <v>48382</v>
      </c>
      <c r="F106" s="1118" t="e">
        <f>+#REF!*1000</f>
        <v>#REF!</v>
      </c>
      <c r="G106" s="1118" t="e">
        <f>+#REF!*1000</f>
        <v>#REF!</v>
      </c>
      <c r="H106" s="1118" t="e">
        <f>+#REF!*1000</f>
        <v>#REF!</v>
      </c>
      <c r="I106" s="680">
        <f t="shared" si="45"/>
        <v>0</v>
      </c>
      <c r="J106" s="680">
        <f t="shared" si="45"/>
        <v>0</v>
      </c>
      <c r="K106" s="680">
        <f t="shared" si="45"/>
        <v>0</v>
      </c>
      <c r="L106" s="680">
        <f t="shared" si="45"/>
        <v>0</v>
      </c>
      <c r="M106" s="680">
        <f t="shared" si="45"/>
        <v>0</v>
      </c>
      <c r="N106" s="680">
        <f t="shared" si="45"/>
        <v>0</v>
      </c>
      <c r="O106" s="680">
        <f t="shared" si="45"/>
        <v>0</v>
      </c>
      <c r="Q106" s="680"/>
    </row>
    <row r="107" spans="1:17" x14ac:dyDescent="0.3">
      <c r="A107" s="688" t="s">
        <v>39</v>
      </c>
      <c r="B107" s="680">
        <f t="shared" si="45"/>
        <v>21635</v>
      </c>
      <c r="C107" s="680">
        <f t="shared" si="45"/>
        <v>17068.11507</v>
      </c>
      <c r="D107" s="680">
        <f t="shared" si="45"/>
        <v>0</v>
      </c>
      <c r="E107" s="680">
        <f t="shared" si="45"/>
        <v>0</v>
      </c>
      <c r="F107" s="680">
        <f t="shared" si="45"/>
        <v>0</v>
      </c>
      <c r="G107" s="680">
        <f t="shared" si="45"/>
        <v>0</v>
      </c>
      <c r="H107" s="680">
        <f t="shared" si="45"/>
        <v>0</v>
      </c>
      <c r="I107" s="680">
        <f t="shared" si="45"/>
        <v>0</v>
      </c>
      <c r="J107" s="680">
        <f t="shared" si="45"/>
        <v>0</v>
      </c>
      <c r="K107" s="680">
        <f t="shared" si="45"/>
        <v>0</v>
      </c>
      <c r="L107" s="680">
        <f t="shared" si="45"/>
        <v>0</v>
      </c>
      <c r="M107" s="680">
        <f t="shared" si="45"/>
        <v>0</v>
      </c>
      <c r="N107" s="680">
        <f t="shared" si="45"/>
        <v>0</v>
      </c>
      <c r="O107" s="680">
        <f t="shared" si="45"/>
        <v>0</v>
      </c>
      <c r="Q107" s="680"/>
    </row>
    <row r="108" spans="1:17" x14ac:dyDescent="0.3">
      <c r="A108" s="692" t="s">
        <v>40</v>
      </c>
      <c r="B108" s="680">
        <f t="shared" si="45"/>
        <v>43635</v>
      </c>
      <c r="C108" s="680">
        <f t="shared" si="45"/>
        <v>40248.894015294129</v>
      </c>
      <c r="D108" s="680">
        <f t="shared" si="45"/>
        <v>34061</v>
      </c>
      <c r="E108" s="680">
        <f t="shared" si="45"/>
        <v>65420</v>
      </c>
      <c r="F108" s="680" t="e">
        <f t="shared" si="45"/>
        <v>#REF!</v>
      </c>
      <c r="G108" s="680" t="e">
        <f t="shared" si="45"/>
        <v>#REF!</v>
      </c>
      <c r="H108" s="680" t="e">
        <f t="shared" si="45"/>
        <v>#REF!</v>
      </c>
      <c r="I108" s="680">
        <f t="shared" si="45"/>
        <v>52806.016319062503</v>
      </c>
      <c r="J108" s="680">
        <f t="shared" si="45"/>
        <v>43498.370605600001</v>
      </c>
      <c r="K108" s="680">
        <f t="shared" si="45"/>
        <v>45000</v>
      </c>
      <c r="L108" s="680">
        <f t="shared" si="45"/>
        <v>40000</v>
      </c>
      <c r="M108" s="680">
        <f t="shared" si="45"/>
        <v>40000</v>
      </c>
      <c r="N108" s="680">
        <f t="shared" si="45"/>
        <v>40000</v>
      </c>
      <c r="O108" s="680">
        <f t="shared" si="45"/>
        <v>35000</v>
      </c>
      <c r="Q108" s="680"/>
    </row>
    <row r="109" spans="1:17" x14ac:dyDescent="0.3">
      <c r="A109" s="699" t="s">
        <v>42</v>
      </c>
      <c r="B109" s="694">
        <f>B108+B103+B102+B101+B100</f>
        <v>60135</v>
      </c>
      <c r="C109" s="694">
        <f t="shared" ref="C109:O109" si="46">C108+C103+C102+C101+C100</f>
        <v>53748.894015294129</v>
      </c>
      <c r="D109" s="694">
        <f t="shared" si="46"/>
        <v>60455</v>
      </c>
      <c r="E109" s="694">
        <f t="shared" si="46"/>
        <v>85112.5</v>
      </c>
      <c r="F109" s="694" t="e">
        <f t="shared" si="46"/>
        <v>#REF!</v>
      </c>
      <c r="G109" s="694" t="e">
        <f t="shared" si="46"/>
        <v>#REF!</v>
      </c>
      <c r="H109" s="695" t="e">
        <f t="shared" si="46"/>
        <v>#REF!</v>
      </c>
      <c r="I109" s="694">
        <f t="shared" si="46"/>
        <v>69762.772487031252</v>
      </c>
      <c r="J109" s="694">
        <f t="shared" si="46"/>
        <v>60954.261896928117</v>
      </c>
      <c r="K109" s="694">
        <f t="shared" si="46"/>
        <v>71965.009117154696</v>
      </c>
      <c r="L109" s="694">
        <f t="shared" si="46"/>
        <v>67484.309299497778</v>
      </c>
      <c r="M109" s="694">
        <f t="shared" si="46"/>
        <v>68013.995485487743</v>
      </c>
      <c r="N109" s="694">
        <f t="shared" si="46"/>
        <v>68554.275395197488</v>
      </c>
      <c r="O109" s="694">
        <f t="shared" si="46"/>
        <v>64105.360903101442</v>
      </c>
      <c r="Q109" s="694"/>
    </row>
    <row r="110" spans="1:17" x14ac:dyDescent="0.3">
      <c r="A110" s="699"/>
      <c r="B110" s="696">
        <f>+B109/B114</f>
        <v>0.25258051305744855</v>
      </c>
      <c r="C110" s="696">
        <f t="shared" ref="C110:H110" si="47">+C109/C114</f>
        <v>0.22252743014428589</v>
      </c>
      <c r="D110" s="696">
        <f t="shared" si="47"/>
        <v>0.25313673068186338</v>
      </c>
      <c r="E110" s="696">
        <f t="shared" si="47"/>
        <v>0.32984791485310866</v>
      </c>
      <c r="F110" s="696" t="e">
        <f t="shared" si="47"/>
        <v>#REF!</v>
      </c>
      <c r="G110" s="696" t="e">
        <f t="shared" si="47"/>
        <v>#REF!</v>
      </c>
      <c r="H110" s="697" t="e">
        <f t="shared" si="47"/>
        <v>#REF!</v>
      </c>
      <c r="I110" s="696">
        <f>+I109/I114</f>
        <v>0.2821410376500037</v>
      </c>
      <c r="J110" s="696">
        <f t="shared" ref="J110:O110" si="48">+J109/J114</f>
        <v>0.24651684684673902</v>
      </c>
      <c r="K110" s="696">
        <f t="shared" si="48"/>
        <v>0.25269734534393212</v>
      </c>
      <c r="L110" s="696">
        <f t="shared" si="48"/>
        <v>0.23691421142144942</v>
      </c>
      <c r="M110" s="696">
        <f t="shared" si="48"/>
        <v>0.23451889435931217</v>
      </c>
      <c r="N110" s="696">
        <f t="shared" si="48"/>
        <v>0.23215632636320807</v>
      </c>
      <c r="O110" s="696">
        <f t="shared" si="48"/>
        <v>0.21680272357578126</v>
      </c>
      <c r="Q110" s="696"/>
    </row>
    <row r="111" spans="1:17" ht="24" x14ac:dyDescent="0.3">
      <c r="A111" s="700" t="s">
        <v>43</v>
      </c>
      <c r="B111" s="680">
        <f>+B38+B76</f>
        <v>21574</v>
      </c>
      <c r="C111" s="680">
        <f t="shared" ref="C111:O111" si="49">+C38+C76</f>
        <v>22113.35</v>
      </c>
      <c r="D111" s="680">
        <f t="shared" si="49"/>
        <v>24693</v>
      </c>
      <c r="E111" s="680">
        <f t="shared" si="49"/>
        <v>25068.396000000008</v>
      </c>
      <c r="F111" s="1131">
        <f t="shared" si="49"/>
        <v>27204.998478594585</v>
      </c>
      <c r="G111" s="1131">
        <f t="shared" si="49"/>
        <v>27704.218812500039</v>
      </c>
      <c r="H111" s="1131">
        <f t="shared" si="49"/>
        <v>28354.490882812526</v>
      </c>
      <c r="I111" s="1131">
        <f t="shared" si="49"/>
        <v>28881.580700468778</v>
      </c>
      <c r="J111" s="1131">
        <f t="shared" si="49"/>
        <v>29419.212314478154</v>
      </c>
      <c r="K111" s="680">
        <f t="shared" si="49"/>
        <v>27967.596560767717</v>
      </c>
      <c r="L111" s="680">
        <f t="shared" si="49"/>
        <v>28526.948491983072</v>
      </c>
      <c r="M111" s="680">
        <f t="shared" si="49"/>
        <v>29097.487461822733</v>
      </c>
      <c r="N111" s="680">
        <f t="shared" si="49"/>
        <v>29679.437211059187</v>
      </c>
      <c r="O111" s="680">
        <f t="shared" si="49"/>
        <v>30273.025955280373</v>
      </c>
      <c r="Q111" s="680"/>
    </row>
    <row r="112" spans="1:17" x14ac:dyDescent="0.3">
      <c r="A112" s="699" t="s">
        <v>44</v>
      </c>
      <c r="B112" s="694">
        <f t="shared" ref="B112:H112" si="50">+B111</f>
        <v>21574</v>
      </c>
      <c r="C112" s="694">
        <f t="shared" si="50"/>
        <v>22113.35</v>
      </c>
      <c r="D112" s="694">
        <f t="shared" si="50"/>
        <v>24693</v>
      </c>
      <c r="E112" s="694">
        <f t="shared" si="50"/>
        <v>25068.396000000008</v>
      </c>
      <c r="F112" s="694">
        <f t="shared" si="50"/>
        <v>27204.998478594585</v>
      </c>
      <c r="G112" s="694">
        <f t="shared" si="50"/>
        <v>27704.218812500039</v>
      </c>
      <c r="H112" s="695">
        <f t="shared" si="50"/>
        <v>28354.490882812526</v>
      </c>
      <c r="I112" s="694">
        <f>+I111</f>
        <v>28881.580700468778</v>
      </c>
      <c r="J112" s="694">
        <f t="shared" ref="J112:O112" si="51">+J111</f>
        <v>29419.212314478154</v>
      </c>
      <c r="K112" s="694">
        <f t="shared" si="51"/>
        <v>27967.596560767717</v>
      </c>
      <c r="L112" s="694">
        <f t="shared" si="51"/>
        <v>28526.948491983072</v>
      </c>
      <c r="M112" s="694">
        <f t="shared" si="51"/>
        <v>29097.487461822733</v>
      </c>
      <c r="N112" s="694">
        <f t="shared" si="51"/>
        <v>29679.437211059187</v>
      </c>
      <c r="O112" s="694">
        <f t="shared" si="51"/>
        <v>30273.025955280373</v>
      </c>
      <c r="Q112" s="694"/>
    </row>
    <row r="113" spans="1:17" x14ac:dyDescent="0.3">
      <c r="A113" s="699"/>
      <c r="B113" s="696">
        <f>B112/B114</f>
        <v>9.0615647937164645E-2</v>
      </c>
      <c r="C113" s="696">
        <f t="shared" ref="C113:H113" si="52">C112/C114</f>
        <v>9.1552152607659865E-2</v>
      </c>
      <c r="D113" s="696">
        <f t="shared" si="52"/>
        <v>0.10339434770866351</v>
      </c>
      <c r="E113" s="696">
        <f t="shared" si="52"/>
        <v>9.7150925531643562E-2</v>
      </c>
      <c r="F113" s="696" t="e">
        <f t="shared" si="52"/>
        <v>#REF!</v>
      </c>
      <c r="G113" s="696" t="e">
        <f t="shared" si="52"/>
        <v>#REF!</v>
      </c>
      <c r="H113" s="697" t="e">
        <f t="shared" si="52"/>
        <v>#REF!</v>
      </c>
      <c r="I113" s="696">
        <f>I112/I114</f>
        <v>0.1168055519771294</v>
      </c>
      <c r="J113" s="696">
        <f t="shared" ref="J113:O113" si="53">J112/J114</f>
        <v>0.11897989132808123</v>
      </c>
      <c r="K113" s="696">
        <f t="shared" si="53"/>
        <v>9.8205190178617077E-2</v>
      </c>
      <c r="L113" s="696">
        <f t="shared" si="53"/>
        <v>0.1001483096795772</v>
      </c>
      <c r="M113" s="696">
        <f t="shared" si="53"/>
        <v>0.10033097658020465</v>
      </c>
      <c r="N113" s="696">
        <f t="shared" si="53"/>
        <v>0.10050823339210278</v>
      </c>
      <c r="O113" s="696">
        <f t="shared" si="53"/>
        <v>0.10238261489403093</v>
      </c>
      <c r="Q113" s="696"/>
    </row>
    <row r="114" spans="1:17" ht="12.5" thickBot="1" x14ac:dyDescent="0.35">
      <c r="A114" s="701" t="s">
        <v>418</v>
      </c>
      <c r="B114" s="702">
        <f>+B112+B109+B98</f>
        <v>238082.5</v>
      </c>
      <c r="C114" s="702">
        <f>+C112+C109+C98</f>
        <v>241538.28577647061</v>
      </c>
      <c r="D114" s="702">
        <f>+D112+D109+D98</f>
        <v>238823.5</v>
      </c>
      <c r="E114" s="702">
        <f>+E112+E109+E98</f>
        <v>258035.58600000001</v>
      </c>
      <c r="F114" s="702" t="e">
        <f>+F112+F109+F98</f>
        <v>#REF!</v>
      </c>
      <c r="G114" s="702" t="e">
        <f t="shared" ref="G114:O114" si="54">+G112+G109+G98</f>
        <v>#REF!</v>
      </c>
      <c r="H114" s="703" t="e">
        <f t="shared" si="54"/>
        <v>#REF!</v>
      </c>
      <c r="I114" s="704">
        <f t="shared" si="54"/>
        <v>247262.054</v>
      </c>
      <c r="J114" s="704">
        <f t="shared" si="54"/>
        <v>247262.054</v>
      </c>
      <c r="K114" s="704">
        <f t="shared" si="54"/>
        <v>284787.35706228798</v>
      </c>
      <c r="L114" s="704">
        <f t="shared" si="54"/>
        <v>284847.02920353378</v>
      </c>
      <c r="M114" s="704">
        <f t="shared" si="54"/>
        <v>290014.99291260442</v>
      </c>
      <c r="N114" s="704">
        <f t="shared" si="54"/>
        <v>295293.59147398151</v>
      </c>
      <c r="O114" s="704">
        <f t="shared" si="54"/>
        <v>295685.21947416425</v>
      </c>
      <c r="Q114" s="704"/>
    </row>
    <row r="117" spans="1:17" x14ac:dyDescent="0.3">
      <c r="A117" s="644" t="s">
        <v>1146</v>
      </c>
      <c r="B117" s="644">
        <f>+B41-B34-B33-B23</f>
        <v>189247.5</v>
      </c>
      <c r="C117" s="644">
        <f t="shared" ref="C117:J117" si="55">+C41-C34-C33-C23</f>
        <v>175745.28577647061</v>
      </c>
      <c r="D117" s="644">
        <f t="shared" si="55"/>
        <v>207348</v>
      </c>
      <c r="E117" s="644">
        <f t="shared" si="55"/>
        <v>209653.58600000001</v>
      </c>
      <c r="F117" s="644">
        <f t="shared" si="55"/>
        <v>227353.58600000001</v>
      </c>
      <c r="G117" s="644">
        <f t="shared" si="55"/>
        <v>247353.58600000001</v>
      </c>
      <c r="H117" s="644">
        <f t="shared" si="55"/>
        <v>247353.58600000001</v>
      </c>
      <c r="I117" s="644">
        <f t="shared" si="55"/>
        <v>282984.98372000002</v>
      </c>
      <c r="J117" s="644">
        <f t="shared" si="55"/>
        <v>290833.68339440005</v>
      </c>
      <c r="K117" s="644">
        <f t="shared" ref="K117:O117" si="56">+K41-K33-K34-K23</f>
        <v>283787.35706228798</v>
      </c>
      <c r="L117" s="644">
        <f t="shared" si="56"/>
        <v>283847.02920353378</v>
      </c>
      <c r="M117" s="644">
        <f t="shared" si="56"/>
        <v>289014.99291260442</v>
      </c>
      <c r="N117" s="644">
        <f t="shared" si="56"/>
        <v>294293.59147398151</v>
      </c>
      <c r="O117" s="644">
        <f t="shared" si="56"/>
        <v>294685.21947416425</v>
      </c>
    </row>
    <row r="118" spans="1:17" x14ac:dyDescent="0.3">
      <c r="A118" s="644" t="s">
        <v>1149</v>
      </c>
      <c r="B118" s="644">
        <f>+B114-B107-B106-B96</f>
        <v>189247.5</v>
      </c>
      <c r="C118" s="644">
        <f t="shared" ref="C118:J118" si="57">+C114-C107-C106-C96</f>
        <v>175745.28577647061</v>
      </c>
      <c r="D118" s="644">
        <f t="shared" si="57"/>
        <v>207348</v>
      </c>
      <c r="E118" s="644">
        <f t="shared" si="57"/>
        <v>209653.58600000001</v>
      </c>
      <c r="F118" s="644" t="e">
        <f t="shared" si="57"/>
        <v>#REF!</v>
      </c>
      <c r="G118" s="644" t="e">
        <f t="shared" si="57"/>
        <v>#REF!</v>
      </c>
      <c r="H118" s="644" t="e">
        <f t="shared" si="57"/>
        <v>#REF!</v>
      </c>
      <c r="I118" s="644">
        <f t="shared" si="57"/>
        <v>247262.054</v>
      </c>
      <c r="J118" s="644">
        <f t="shared" si="57"/>
        <v>247262.054</v>
      </c>
    </row>
    <row r="119" spans="1:17" x14ac:dyDescent="0.3">
      <c r="A119" s="1124" t="s">
        <v>1147</v>
      </c>
      <c r="B119" s="1124">
        <f t="shared" ref="B119:I119" si="58">+B117-B118</f>
        <v>0</v>
      </c>
      <c r="C119" s="1124">
        <f t="shared" si="58"/>
        <v>0</v>
      </c>
      <c r="D119" s="1124">
        <f t="shared" si="58"/>
        <v>0</v>
      </c>
      <c r="E119" s="1124">
        <f t="shared" si="58"/>
        <v>0</v>
      </c>
      <c r="F119" s="1124" t="e">
        <f t="shared" si="58"/>
        <v>#REF!</v>
      </c>
      <c r="G119" s="1124" t="e">
        <f t="shared" si="58"/>
        <v>#REF!</v>
      </c>
      <c r="H119" s="1124" t="e">
        <f t="shared" si="58"/>
        <v>#REF!</v>
      </c>
      <c r="I119" s="1124">
        <f t="shared" si="58"/>
        <v>35722.929720000015</v>
      </c>
      <c r="J119" s="1124">
        <f>+J117-J118</f>
        <v>43571.62939440005</v>
      </c>
    </row>
    <row r="121" spans="1:17" x14ac:dyDescent="0.3">
      <c r="A121" s="643" t="s">
        <v>1153</v>
      </c>
      <c r="G121" s="644" t="e">
        <f>+#REF!</f>
        <v>#REF!</v>
      </c>
      <c r="H121" s="644" t="e">
        <f>+#REF!</f>
        <v>#REF!</v>
      </c>
    </row>
    <row r="122" spans="1:17" x14ac:dyDescent="0.3">
      <c r="A122" s="1133" t="s">
        <v>1148</v>
      </c>
      <c r="B122" s="655"/>
      <c r="C122" s="655"/>
      <c r="D122" s="655"/>
      <c r="E122" s="655"/>
      <c r="F122" s="655"/>
      <c r="G122" s="656" t="e">
        <f>+#REF!</f>
        <v>#REF!</v>
      </c>
      <c r="H122" s="656" t="e">
        <f>+#REF!</f>
        <v>#REF!</v>
      </c>
      <c r="I122" s="656" t="e">
        <f>+#REF!</f>
        <v>#REF!</v>
      </c>
      <c r="J122" s="655"/>
    </row>
    <row r="123" spans="1:17" x14ac:dyDescent="0.3">
      <c r="A123" s="1134" t="s">
        <v>587</v>
      </c>
      <c r="B123" s="655"/>
      <c r="C123" s="655"/>
      <c r="D123" s="655"/>
      <c r="E123" s="655"/>
      <c r="F123" s="655"/>
      <c r="G123" s="1125" t="e">
        <f>+#REF!</f>
        <v>#REF!</v>
      </c>
      <c r="H123" s="1125" t="e">
        <f>+#REF!</f>
        <v>#REF!</v>
      </c>
      <c r="I123" s="1125" t="e">
        <f>+#REF!</f>
        <v>#REF!</v>
      </c>
      <c r="J123" s="655"/>
    </row>
    <row r="124" spans="1:17" x14ac:dyDescent="0.3">
      <c r="A124" s="1134" t="s">
        <v>588</v>
      </c>
      <c r="B124" s="655"/>
      <c r="C124" s="655"/>
      <c r="D124" s="655"/>
      <c r="E124" s="655"/>
      <c r="F124" s="655"/>
      <c r="G124" s="1125" t="e">
        <f>+#REF!</f>
        <v>#REF!</v>
      </c>
      <c r="H124" s="1125" t="e">
        <f>+#REF!</f>
        <v>#REF!</v>
      </c>
      <c r="I124" s="1125" t="e">
        <f>+#REF!</f>
        <v>#REF!</v>
      </c>
      <c r="J124" s="655"/>
    </row>
    <row r="125" spans="1:17" x14ac:dyDescent="0.3">
      <c r="A125" s="1135" t="s">
        <v>1154</v>
      </c>
      <c r="B125" s="655"/>
      <c r="C125" s="655"/>
      <c r="D125" s="655"/>
      <c r="E125" s="655"/>
      <c r="F125" s="655"/>
      <c r="G125" s="1132" t="e">
        <f>+G121-G122</f>
        <v>#REF!</v>
      </c>
      <c r="H125" s="1132" t="e">
        <f t="shared" ref="H125:I125" si="59">+H121-H122</f>
        <v>#REF!</v>
      </c>
      <c r="I125" s="1132" t="e">
        <f t="shared" si="59"/>
        <v>#REF!</v>
      </c>
      <c r="J125" s="655"/>
    </row>
    <row r="126" spans="1:17" x14ac:dyDescent="0.3">
      <c r="A126" s="1135"/>
      <c r="B126" s="655"/>
      <c r="C126" s="655"/>
      <c r="D126" s="655"/>
      <c r="E126" s="655"/>
      <c r="F126" s="655"/>
      <c r="G126" s="1132"/>
      <c r="H126" s="1132"/>
      <c r="I126" s="1132"/>
      <c r="J126" s="655"/>
    </row>
    <row r="127" spans="1:17" x14ac:dyDescent="0.3">
      <c r="A127" s="1135" t="s">
        <v>1166</v>
      </c>
      <c r="B127" s="1124">
        <f t="shared" ref="B127:I127" si="60">+B117+B121-B118</f>
        <v>0</v>
      </c>
      <c r="C127" s="1124">
        <f t="shared" si="60"/>
        <v>0</v>
      </c>
      <c r="D127" s="1124">
        <f t="shared" si="60"/>
        <v>0</v>
      </c>
      <c r="E127" s="1124">
        <f t="shared" si="60"/>
        <v>0</v>
      </c>
      <c r="F127" s="1124" t="e">
        <f t="shared" si="60"/>
        <v>#REF!</v>
      </c>
      <c r="G127" s="1124" t="e">
        <f t="shared" si="60"/>
        <v>#REF!</v>
      </c>
      <c r="H127" s="1124" t="e">
        <f t="shared" si="60"/>
        <v>#REF!</v>
      </c>
      <c r="I127" s="1124">
        <f t="shared" si="60"/>
        <v>35722.929720000015</v>
      </c>
      <c r="J127" s="1124">
        <f>+J117+J121-J118</f>
        <v>43571.62939440005</v>
      </c>
    </row>
    <row r="128" spans="1:17" x14ac:dyDescent="0.3">
      <c r="A128" s="655"/>
      <c r="B128" s="655"/>
      <c r="C128" s="655"/>
      <c r="D128" s="655"/>
      <c r="E128" s="655"/>
      <c r="F128" s="655"/>
      <c r="G128" s="655"/>
      <c r="H128" s="655"/>
      <c r="I128" s="655"/>
      <c r="J128" s="655"/>
    </row>
    <row r="129" spans="1:17" x14ac:dyDescent="0.3">
      <c r="A129" s="644" t="s">
        <v>1146</v>
      </c>
      <c r="B129" s="644">
        <f t="shared" ref="B129:J129" si="61">+B117</f>
        <v>189247.5</v>
      </c>
      <c r="C129" s="644">
        <f t="shared" si="61"/>
        <v>175745.28577647061</v>
      </c>
      <c r="D129" s="644">
        <f t="shared" si="61"/>
        <v>207348</v>
      </c>
      <c r="E129" s="644">
        <f t="shared" si="61"/>
        <v>209653.58600000001</v>
      </c>
      <c r="F129" s="644">
        <f t="shared" si="61"/>
        <v>227353.58600000001</v>
      </c>
      <c r="G129" s="644">
        <f t="shared" si="61"/>
        <v>247353.58600000001</v>
      </c>
      <c r="H129" s="644">
        <f t="shared" si="61"/>
        <v>247353.58600000001</v>
      </c>
      <c r="I129" s="644">
        <f t="shared" si="61"/>
        <v>282984.98372000002</v>
      </c>
      <c r="J129" s="644">
        <f t="shared" si="61"/>
        <v>290833.68339440005</v>
      </c>
    </row>
    <row r="130" spans="1:17" x14ac:dyDescent="0.3">
      <c r="A130" s="644" t="s">
        <v>1150</v>
      </c>
      <c r="B130" s="644">
        <f t="shared" ref="B130:J130" si="62">+B118-B122</f>
        <v>189247.5</v>
      </c>
      <c r="C130" s="644">
        <f t="shared" si="62"/>
        <v>175745.28577647061</v>
      </c>
      <c r="D130" s="644">
        <f t="shared" si="62"/>
        <v>207348</v>
      </c>
      <c r="E130" s="644">
        <f t="shared" si="62"/>
        <v>209653.58600000001</v>
      </c>
      <c r="F130" s="644" t="e">
        <f t="shared" si="62"/>
        <v>#REF!</v>
      </c>
      <c r="G130" s="644" t="e">
        <f t="shared" si="62"/>
        <v>#REF!</v>
      </c>
      <c r="H130" s="644" t="e">
        <f t="shared" si="62"/>
        <v>#REF!</v>
      </c>
      <c r="I130" s="644" t="e">
        <f t="shared" si="62"/>
        <v>#REF!</v>
      </c>
      <c r="J130" s="644">
        <f t="shared" si="62"/>
        <v>247262.054</v>
      </c>
    </row>
    <row r="131" spans="1:17" x14ac:dyDescent="0.3">
      <c r="A131" s="1124" t="s">
        <v>1147</v>
      </c>
      <c r="B131" s="1124">
        <f t="shared" ref="B131:I131" si="63">+B129-B130</f>
        <v>0</v>
      </c>
      <c r="C131" s="1124">
        <f t="shared" si="63"/>
        <v>0</v>
      </c>
      <c r="D131" s="1124">
        <f t="shared" si="63"/>
        <v>0</v>
      </c>
      <c r="E131" s="1124">
        <f t="shared" si="63"/>
        <v>0</v>
      </c>
      <c r="F131" s="1124" t="e">
        <f t="shared" si="63"/>
        <v>#REF!</v>
      </c>
      <c r="G131" s="1124" t="e">
        <f t="shared" si="63"/>
        <v>#REF!</v>
      </c>
      <c r="H131" s="1124" t="e">
        <f t="shared" si="63"/>
        <v>#REF!</v>
      </c>
      <c r="I131" s="1124" t="e">
        <f t="shared" si="63"/>
        <v>#REF!</v>
      </c>
      <c r="J131" s="1124">
        <f>+J129-J130</f>
        <v>43571.62939440005</v>
      </c>
    </row>
    <row r="133" spans="1:17" x14ac:dyDescent="0.3">
      <c r="A133" s="755" t="s">
        <v>1164</v>
      </c>
      <c r="F133" s="1138" t="e">
        <f>(F5+F121)-(F114-F106)</f>
        <v>#REF!</v>
      </c>
      <c r="G133" s="1138" t="e">
        <f t="shared" ref="G133:J133" si="64">(G5+G121)-(G114-G106)</f>
        <v>#REF!</v>
      </c>
      <c r="H133" s="1138" t="e">
        <f t="shared" si="64"/>
        <v>#REF!</v>
      </c>
      <c r="I133" s="1138">
        <f t="shared" si="64"/>
        <v>0</v>
      </c>
      <c r="J133" s="1138">
        <f t="shared" si="64"/>
        <v>0</v>
      </c>
      <c r="Q133" s="643" t="s">
        <v>1167</v>
      </c>
    </row>
  </sheetData>
  <pageMargins left="0.54" right="0.7" top="0.37" bottom="0.33" header="0.3" footer="0.3"/>
  <pageSetup paperSize="9" orientation="landscape" r:id="rId1"/>
  <customProperties>
    <customPr name="EpmWorksheetKeyString_GUID" r:id="rId2"/>
  </customProperties>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I32"/>
  <sheetViews>
    <sheetView zoomScaleNormal="100" workbookViewId="0">
      <selection activeCell="N31" activeCellId="1" sqref="M34 N31"/>
    </sheetView>
  </sheetViews>
  <sheetFormatPr defaultColWidth="8.7265625" defaultRowHeight="14.5" x14ac:dyDescent="0.35"/>
  <cols>
    <col min="1" max="1" width="32.1796875" style="51" customWidth="1"/>
    <col min="2" max="2" width="7.1796875" style="51" customWidth="1"/>
    <col min="3" max="3" width="7.54296875" style="51" customWidth="1"/>
    <col min="4" max="4" width="6.54296875" style="51" customWidth="1"/>
    <col min="5" max="5" width="5.81640625" style="51" customWidth="1"/>
    <col min="6" max="6" width="5.81640625" style="110" customWidth="1"/>
    <col min="7" max="16384" width="8.7265625" style="51"/>
  </cols>
  <sheetData>
    <row r="1" spans="1:9" ht="16" thickBot="1" x14ac:dyDescent="0.4">
      <c r="A1" s="1589" t="s">
        <v>155</v>
      </c>
      <c r="B1" s="1589"/>
      <c r="C1" s="1589"/>
      <c r="D1" s="1589"/>
      <c r="E1" s="1589"/>
      <c r="F1" s="1589"/>
      <c r="G1" s="1589"/>
      <c r="H1" s="1589"/>
      <c r="I1" s="1589"/>
    </row>
    <row r="2" spans="1:9" ht="24.65" customHeight="1" x14ac:dyDescent="0.35">
      <c r="A2" s="1590" t="s">
        <v>108</v>
      </c>
      <c r="B2" s="1592" t="s">
        <v>109</v>
      </c>
      <c r="C2" s="1593"/>
      <c r="D2" s="1593"/>
      <c r="E2" s="1593"/>
      <c r="F2" s="1594" t="s">
        <v>159</v>
      </c>
      <c r="G2" s="1594" t="s">
        <v>53</v>
      </c>
      <c r="H2" s="1594" t="s">
        <v>53</v>
      </c>
      <c r="I2" s="1594" t="s">
        <v>54</v>
      </c>
    </row>
    <row r="3" spans="1:9" ht="15" thickBot="1" x14ac:dyDescent="0.4">
      <c r="A3" s="1591"/>
      <c r="B3" s="66">
        <v>2014</v>
      </c>
      <c r="C3" s="67">
        <v>2015</v>
      </c>
      <c r="D3" s="67">
        <v>2016</v>
      </c>
      <c r="E3" s="67">
        <v>2017</v>
      </c>
      <c r="F3" s="1595"/>
      <c r="G3" s="1595"/>
      <c r="H3" s="1595"/>
      <c r="I3" s="1595"/>
    </row>
    <row r="4" spans="1:9" x14ac:dyDescent="0.35">
      <c r="A4" s="175" t="s">
        <v>55</v>
      </c>
      <c r="B4" s="176"/>
      <c r="C4" s="176"/>
      <c r="D4" s="176"/>
      <c r="E4" s="176"/>
      <c r="F4" s="176">
        <v>1</v>
      </c>
      <c r="G4" s="146"/>
      <c r="H4" s="146"/>
      <c r="I4" s="146"/>
    </row>
    <row r="5" spans="1:9" x14ac:dyDescent="0.35">
      <c r="A5" s="68" t="s">
        <v>110</v>
      </c>
      <c r="B5" s="69">
        <v>1</v>
      </c>
      <c r="C5" s="69">
        <v>1.8</v>
      </c>
      <c r="D5" s="70"/>
      <c r="E5" s="70"/>
      <c r="F5" s="70">
        <f>F4</f>
        <v>1</v>
      </c>
      <c r="G5" s="57">
        <v>30.9</v>
      </c>
      <c r="H5" s="57">
        <v>37.700000000000003</v>
      </c>
      <c r="I5" s="71">
        <f>H5-G5</f>
        <v>6.8000000000000043</v>
      </c>
    </row>
    <row r="6" spans="1:9" x14ac:dyDescent="0.35">
      <c r="A6" s="68" t="s">
        <v>111</v>
      </c>
      <c r="B6" s="69"/>
      <c r="C6" s="69">
        <v>3.4</v>
      </c>
      <c r="D6" s="70"/>
      <c r="E6" s="70"/>
      <c r="F6" s="70">
        <f t="shared" ref="F6:F29" si="0">F5</f>
        <v>1</v>
      </c>
      <c r="G6" s="57">
        <v>50.3</v>
      </c>
      <c r="H6" s="57">
        <v>56.3</v>
      </c>
      <c r="I6" s="71">
        <f>H6-G6</f>
        <v>6</v>
      </c>
    </row>
    <row r="7" spans="1:9" x14ac:dyDescent="0.35">
      <c r="A7" s="68" t="s">
        <v>112</v>
      </c>
      <c r="B7" s="69">
        <v>1</v>
      </c>
      <c r="C7" s="69"/>
      <c r="D7" s="70"/>
      <c r="E7" s="70"/>
      <c r="F7" s="70">
        <f t="shared" si="0"/>
        <v>1</v>
      </c>
      <c r="G7" s="57">
        <v>61.8</v>
      </c>
      <c r="H7" s="57">
        <v>65</v>
      </c>
      <c r="I7" s="71">
        <f>H7-G7</f>
        <v>3.2000000000000028</v>
      </c>
    </row>
    <row r="8" spans="1:9" ht="24.5" x14ac:dyDescent="0.35">
      <c r="A8" s="177" t="s">
        <v>64</v>
      </c>
      <c r="B8" s="77"/>
      <c r="C8" s="77"/>
      <c r="D8" s="178"/>
      <c r="E8" s="178"/>
      <c r="F8" s="178">
        <v>2</v>
      </c>
      <c r="G8" s="72"/>
      <c r="H8" s="72"/>
      <c r="I8" s="72"/>
    </row>
    <row r="9" spans="1:9" ht="21" customHeight="1" x14ac:dyDescent="0.35">
      <c r="A9" s="179" t="s">
        <v>128</v>
      </c>
      <c r="B9" s="69"/>
      <c r="C9" s="69">
        <v>4</v>
      </c>
      <c r="D9" s="180">
        <v>4.32</v>
      </c>
      <c r="E9" s="180"/>
      <c r="F9" s="180">
        <f t="shared" si="0"/>
        <v>2</v>
      </c>
      <c r="G9" s="71">
        <v>5.5</v>
      </c>
      <c r="H9" s="57">
        <v>12.6</v>
      </c>
      <c r="I9" s="71">
        <f>H9-G9</f>
        <v>7.1</v>
      </c>
    </row>
    <row r="10" spans="1:9" x14ac:dyDescent="0.35">
      <c r="A10" s="177" t="s">
        <v>76</v>
      </c>
      <c r="B10" s="77"/>
      <c r="C10" s="77"/>
      <c r="D10" s="178"/>
      <c r="E10" s="178"/>
      <c r="F10" s="178">
        <v>3</v>
      </c>
      <c r="G10" s="73"/>
      <c r="H10" s="73"/>
      <c r="I10" s="73"/>
    </row>
    <row r="11" spans="1:9" x14ac:dyDescent="0.35">
      <c r="A11" s="68" t="s">
        <v>113</v>
      </c>
      <c r="B11" s="69"/>
      <c r="C11" s="75">
        <v>0.5</v>
      </c>
      <c r="D11" s="58">
        <v>1.88</v>
      </c>
      <c r="E11" s="58"/>
      <c r="F11" s="58">
        <f t="shared" si="0"/>
        <v>3</v>
      </c>
      <c r="G11" s="71">
        <v>3.5</v>
      </c>
      <c r="H11" s="71">
        <v>8.3000000000000007</v>
      </c>
      <c r="I11" s="71">
        <f>H11-G11</f>
        <v>4.8000000000000007</v>
      </c>
    </row>
    <row r="12" spans="1:9" x14ac:dyDescent="0.35">
      <c r="A12" s="68" t="s">
        <v>156</v>
      </c>
      <c r="B12" s="69">
        <v>1.68</v>
      </c>
      <c r="C12" s="69"/>
      <c r="D12" s="74"/>
      <c r="E12" s="74"/>
      <c r="F12" s="74">
        <f t="shared" si="0"/>
        <v>3</v>
      </c>
      <c r="G12" s="71">
        <v>61.2</v>
      </c>
      <c r="H12" s="71">
        <v>67.099999999999994</v>
      </c>
      <c r="I12" s="71">
        <f>H12-G12</f>
        <v>5.8999999999999915</v>
      </c>
    </row>
    <row r="13" spans="1:9" ht="14.5" customHeight="1" x14ac:dyDescent="0.35">
      <c r="A13" s="68" t="s">
        <v>114</v>
      </c>
      <c r="B13" s="75"/>
      <c r="C13" s="181">
        <v>6.5</v>
      </c>
      <c r="D13" s="58"/>
      <c r="E13" s="58"/>
      <c r="F13" s="58">
        <f t="shared" si="0"/>
        <v>3</v>
      </c>
      <c r="G13" s="57">
        <v>146</v>
      </c>
      <c r="H13" s="57">
        <v>159.19999999999999</v>
      </c>
      <c r="I13" s="71">
        <f>H13-G13</f>
        <v>13.199999999999989</v>
      </c>
    </row>
    <row r="14" spans="1:9" ht="30.65" customHeight="1" x14ac:dyDescent="0.35">
      <c r="A14" s="68" t="s">
        <v>115</v>
      </c>
      <c r="B14" s="182"/>
      <c r="C14" s="160"/>
      <c r="D14" s="74">
        <v>3</v>
      </c>
      <c r="E14" s="74"/>
      <c r="F14" s="74">
        <f t="shared" si="0"/>
        <v>3</v>
      </c>
      <c r="G14" s="71">
        <v>67.099999999999994</v>
      </c>
      <c r="H14" s="71">
        <v>75.3</v>
      </c>
      <c r="I14" s="71">
        <f>H14-G14</f>
        <v>8.2000000000000028</v>
      </c>
    </row>
    <row r="15" spans="1:9" ht="18.75" customHeight="1" x14ac:dyDescent="0.35">
      <c r="A15" s="68" t="s">
        <v>116</v>
      </c>
      <c r="B15" s="75"/>
      <c r="C15" s="160">
        <v>3</v>
      </c>
      <c r="D15" s="70"/>
      <c r="E15" s="70"/>
      <c r="F15" s="70">
        <f t="shared" si="0"/>
        <v>3</v>
      </c>
      <c r="G15" s="71">
        <v>109.6</v>
      </c>
      <c r="H15" s="71">
        <v>118.9</v>
      </c>
      <c r="I15" s="71">
        <f>H15-G15</f>
        <v>9.3000000000000114</v>
      </c>
    </row>
    <row r="16" spans="1:9" ht="20.149999999999999" customHeight="1" x14ac:dyDescent="0.35">
      <c r="A16" s="177" t="s">
        <v>87</v>
      </c>
      <c r="B16" s="77"/>
      <c r="C16" s="77"/>
      <c r="D16" s="178"/>
      <c r="E16" s="178"/>
      <c r="F16" s="178">
        <v>5</v>
      </c>
      <c r="G16" s="72"/>
      <c r="H16" s="72"/>
      <c r="I16" s="72"/>
    </row>
    <row r="17" spans="1:9" ht="21.75" customHeight="1" x14ac:dyDescent="0.35">
      <c r="A17" s="68" t="s">
        <v>117</v>
      </c>
      <c r="B17" s="69"/>
      <c r="C17" s="69"/>
      <c r="D17" s="58">
        <v>3</v>
      </c>
      <c r="E17" s="58"/>
      <c r="F17" s="58">
        <f t="shared" si="0"/>
        <v>5</v>
      </c>
      <c r="G17" s="71">
        <v>28.2</v>
      </c>
      <c r="H17" s="71">
        <v>35.799999999999997</v>
      </c>
      <c r="I17" s="71">
        <f>H17-G17</f>
        <v>7.5999999999999979</v>
      </c>
    </row>
    <row r="18" spans="1:9" ht="18" customHeight="1" x14ac:dyDescent="0.35">
      <c r="A18" s="68" t="s">
        <v>118</v>
      </c>
      <c r="B18" s="69"/>
      <c r="C18" s="69">
        <v>4</v>
      </c>
      <c r="D18" s="183"/>
      <c r="E18" s="183"/>
      <c r="F18" s="216">
        <f t="shared" si="0"/>
        <v>5</v>
      </c>
      <c r="G18" s="71">
        <v>48.5</v>
      </c>
      <c r="H18" s="71">
        <v>61.7</v>
      </c>
      <c r="I18" s="71">
        <f>H18-G18</f>
        <v>13.200000000000003</v>
      </c>
    </row>
    <row r="19" spans="1:9" ht="18" customHeight="1" x14ac:dyDescent="0.35">
      <c r="A19" s="68" t="s">
        <v>119</v>
      </c>
      <c r="B19" s="69"/>
      <c r="C19" s="76"/>
      <c r="D19" s="183">
        <f>I19*0.5</f>
        <v>3.1499999999999986</v>
      </c>
      <c r="E19" s="183"/>
      <c r="F19" s="216">
        <f t="shared" si="0"/>
        <v>5</v>
      </c>
      <c r="G19" s="71">
        <v>87.8</v>
      </c>
      <c r="H19" s="71">
        <v>94.1</v>
      </c>
      <c r="I19" s="71">
        <f>H19-G19</f>
        <v>6.2999999999999972</v>
      </c>
    </row>
    <row r="20" spans="1:9" ht="18.75" customHeight="1" x14ac:dyDescent="0.35">
      <c r="A20" s="68" t="s">
        <v>120</v>
      </c>
      <c r="B20" s="75">
        <v>0.3</v>
      </c>
      <c r="C20" s="76">
        <v>2.9</v>
      </c>
      <c r="D20" s="58"/>
      <c r="E20" s="58"/>
      <c r="F20" s="58">
        <f t="shared" si="0"/>
        <v>5</v>
      </c>
      <c r="G20" s="71">
        <v>110.8</v>
      </c>
      <c r="H20" s="71">
        <v>120.7</v>
      </c>
      <c r="I20" s="71">
        <f>H20-G20</f>
        <v>9.9000000000000057</v>
      </c>
    </row>
    <row r="21" spans="1:9" ht="18" customHeight="1" x14ac:dyDescent="0.35">
      <c r="A21" s="177" t="s">
        <v>90</v>
      </c>
      <c r="B21" s="77"/>
      <c r="C21" s="77"/>
      <c r="D21" s="178"/>
      <c r="E21" s="178"/>
      <c r="F21" s="178">
        <v>8</v>
      </c>
      <c r="G21" s="72"/>
      <c r="H21" s="72"/>
      <c r="I21" s="72"/>
    </row>
    <row r="22" spans="1:9" ht="27.75" customHeight="1" x14ac:dyDescent="0.35">
      <c r="A22" s="68" t="s">
        <v>121</v>
      </c>
      <c r="B22" s="78">
        <v>1.5</v>
      </c>
      <c r="C22" s="78">
        <v>1.26</v>
      </c>
      <c r="D22" s="79"/>
      <c r="E22" s="79"/>
      <c r="F22" s="79">
        <f t="shared" si="0"/>
        <v>8</v>
      </c>
      <c r="G22" s="71">
        <v>29.4</v>
      </c>
      <c r="H22" s="71">
        <v>37.4</v>
      </c>
      <c r="I22" s="71">
        <f>H22-G22</f>
        <v>8</v>
      </c>
    </row>
    <row r="23" spans="1:9" ht="27.75" customHeight="1" x14ac:dyDescent="0.35">
      <c r="A23" s="68" t="s">
        <v>121</v>
      </c>
      <c r="B23" s="78">
        <v>0.5</v>
      </c>
      <c r="C23" s="78">
        <v>2.8</v>
      </c>
      <c r="D23" s="79"/>
      <c r="E23" s="79"/>
      <c r="F23" s="79">
        <f t="shared" si="0"/>
        <v>8</v>
      </c>
      <c r="G23" s="71">
        <v>37.4</v>
      </c>
      <c r="H23" s="71">
        <v>46.8</v>
      </c>
      <c r="I23" s="71">
        <f>H23-G23</f>
        <v>9.3999999999999986</v>
      </c>
    </row>
    <row r="24" spans="1:9" ht="27" customHeight="1" x14ac:dyDescent="0.35">
      <c r="A24" s="68" t="s">
        <v>122</v>
      </c>
      <c r="B24" s="78">
        <v>2.5</v>
      </c>
      <c r="C24" s="75"/>
      <c r="D24" s="79"/>
      <c r="E24" s="79"/>
      <c r="F24" s="79">
        <f t="shared" si="0"/>
        <v>8</v>
      </c>
      <c r="G24" s="71">
        <v>18</v>
      </c>
      <c r="H24" s="71">
        <v>25.1</v>
      </c>
      <c r="I24" s="71">
        <f>H24-G24</f>
        <v>7.1000000000000014</v>
      </c>
    </row>
    <row r="25" spans="1:9" ht="27" customHeight="1" x14ac:dyDescent="0.35">
      <c r="A25" s="177" t="s">
        <v>92</v>
      </c>
      <c r="B25" s="77"/>
      <c r="C25" s="77"/>
      <c r="D25" s="178"/>
      <c r="E25" s="178"/>
      <c r="F25" s="178">
        <v>9</v>
      </c>
      <c r="G25" s="72"/>
      <c r="H25" s="72"/>
      <c r="I25" s="72"/>
    </row>
    <row r="26" spans="1:9" ht="16.5" customHeight="1" x14ac:dyDescent="0.35">
      <c r="A26" s="80" t="s">
        <v>123</v>
      </c>
      <c r="B26" s="81"/>
      <c r="C26" s="81">
        <v>4.2</v>
      </c>
      <c r="D26" s="65"/>
      <c r="E26" s="65"/>
      <c r="F26" s="65">
        <f t="shared" si="0"/>
        <v>9</v>
      </c>
      <c r="G26" s="82">
        <v>0</v>
      </c>
      <c r="H26" s="82">
        <v>18.3</v>
      </c>
      <c r="I26" s="82">
        <f>H26-G26</f>
        <v>18.3</v>
      </c>
    </row>
    <row r="27" spans="1:9" ht="16.5" customHeight="1" x14ac:dyDescent="0.35">
      <c r="A27" s="83" t="s">
        <v>124</v>
      </c>
      <c r="B27" s="84">
        <v>3.13</v>
      </c>
      <c r="C27" s="85"/>
      <c r="D27" s="62"/>
      <c r="E27" s="62"/>
      <c r="F27" s="62">
        <f t="shared" si="0"/>
        <v>9</v>
      </c>
      <c r="G27" s="71">
        <v>38.9</v>
      </c>
      <c r="H27" s="71">
        <v>49.4</v>
      </c>
      <c r="I27" s="71">
        <f>H27-G27</f>
        <v>10.5</v>
      </c>
    </row>
    <row r="28" spans="1:9" ht="24.5" x14ac:dyDescent="0.35">
      <c r="A28" s="177" t="s">
        <v>93</v>
      </c>
      <c r="B28" s="77"/>
      <c r="C28" s="77"/>
      <c r="D28" s="178"/>
      <c r="E28" s="178"/>
      <c r="F28" s="178">
        <v>10</v>
      </c>
      <c r="G28" s="178"/>
      <c r="H28" s="178"/>
      <c r="I28" s="178"/>
    </row>
    <row r="29" spans="1:9" ht="15" thickBot="1" x14ac:dyDescent="0.4">
      <c r="A29" s="68" t="s">
        <v>125</v>
      </c>
      <c r="B29" s="69"/>
      <c r="C29" s="69">
        <v>2</v>
      </c>
      <c r="D29" s="70">
        <v>1</v>
      </c>
      <c r="E29" s="70"/>
      <c r="F29" s="70">
        <f t="shared" si="0"/>
        <v>10</v>
      </c>
      <c r="G29" s="71">
        <v>21</v>
      </c>
      <c r="H29" s="71">
        <v>29</v>
      </c>
      <c r="I29" s="71">
        <f>H29-G29</f>
        <v>8</v>
      </c>
    </row>
    <row r="30" spans="1:9" x14ac:dyDescent="0.35">
      <c r="A30" s="184" t="s">
        <v>126</v>
      </c>
      <c r="B30" s="86">
        <f>SUM(B5:B29)</f>
        <v>11.61</v>
      </c>
      <c r="C30" s="86">
        <f>SUM(C5:C29)</f>
        <v>36.36</v>
      </c>
      <c r="D30" s="86">
        <f>SUM(D5:D29)</f>
        <v>16.349999999999998</v>
      </c>
      <c r="E30" s="86">
        <f>SUM(E5:E29)</f>
        <v>0</v>
      </c>
      <c r="F30" s="86"/>
      <c r="G30" s="185"/>
      <c r="H30" s="185"/>
      <c r="I30" s="186">
        <f>SUM(I4:I29)</f>
        <v>162.80000000000001</v>
      </c>
    </row>
    <row r="31" spans="1:9" ht="15" thickBot="1" x14ac:dyDescent="0.4">
      <c r="A31" s="187" t="s">
        <v>127</v>
      </c>
      <c r="B31" s="87">
        <f>B30*0.85</f>
        <v>9.8684999999999992</v>
      </c>
      <c r="C31" s="87">
        <f>C30*0.85</f>
        <v>30.905999999999999</v>
      </c>
      <c r="D31" s="87">
        <f>D30*0.85</f>
        <v>13.897499999999997</v>
      </c>
      <c r="E31" s="87">
        <f>E30*0.85</f>
        <v>0</v>
      </c>
      <c r="F31" s="87"/>
      <c r="G31" s="188"/>
      <c r="H31" s="188"/>
      <c r="I31" s="189"/>
    </row>
    <row r="32" spans="1:9" x14ac:dyDescent="0.35">
      <c r="A32" s="54"/>
      <c r="B32" s="54"/>
      <c r="C32" s="54"/>
      <c r="D32" s="54"/>
      <c r="E32" s="54"/>
      <c r="F32" s="54"/>
    </row>
  </sheetData>
  <mergeCells count="7">
    <mergeCell ref="A1:I1"/>
    <mergeCell ref="A2:A3"/>
    <mergeCell ref="B2:E2"/>
    <mergeCell ref="G2:G3"/>
    <mergeCell ref="H2:H3"/>
    <mergeCell ref="I2:I3"/>
    <mergeCell ref="F2:F3"/>
  </mergeCells>
  <pageMargins left="0.7" right="0.7" top="0.75" bottom="0.75" header="0.3" footer="0.3"/>
  <pageSetup paperSize="9" scale="95" orientation="portrait" r:id="rId1"/>
  <customProperties>
    <customPr name="EpmWorksheetKeyString_GUID" r:id="rId2"/>
  </customPropertie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P50"/>
  <sheetViews>
    <sheetView zoomScaleNormal="100" workbookViewId="0">
      <selection activeCell="N31" activeCellId="1" sqref="M34 N31"/>
    </sheetView>
  </sheetViews>
  <sheetFormatPr defaultColWidth="8.7265625" defaultRowHeight="14.5" x14ac:dyDescent="0.35"/>
  <cols>
    <col min="1" max="1" width="32.81640625" style="154" customWidth="1"/>
    <col min="2" max="2" width="6.7265625" style="167" customWidth="1"/>
    <col min="3" max="8" width="6.7265625" style="168" customWidth="1"/>
    <col min="9" max="9" width="30.7265625" style="169" customWidth="1"/>
    <col min="10" max="11" width="6.1796875" style="165" customWidth="1"/>
    <col min="12" max="13" width="5.26953125" style="165" customWidth="1"/>
    <col min="14" max="14" width="8.54296875" style="165" customWidth="1"/>
    <col min="15" max="15" width="18.54296875" style="53" customWidth="1"/>
    <col min="16" max="233" width="8.7265625" style="53"/>
    <col min="234" max="234" width="39.7265625" style="53" customWidth="1"/>
    <col min="235" max="237" width="6.1796875" style="53" customWidth="1"/>
    <col min="238" max="238" width="8.453125" style="53" bestFit="1" customWidth="1"/>
    <col min="239" max="239" width="12.54296875" style="53" bestFit="1" customWidth="1"/>
    <col min="240" max="240" width="27.26953125" style="53" bestFit="1" customWidth="1"/>
    <col min="241" max="241" width="9.1796875" style="53" customWidth="1"/>
    <col min="242" max="242" width="14.7265625" style="53" customWidth="1"/>
    <col min="243" max="243" width="11.7265625" style="53" customWidth="1"/>
    <col min="244" max="244" width="14.7265625" style="53" customWidth="1"/>
    <col min="245" max="245" width="11.7265625" style="53" customWidth="1"/>
    <col min="246" max="246" width="14.7265625" style="53" customWidth="1"/>
    <col min="247" max="247" width="11.7265625" style="53" customWidth="1"/>
    <col min="248" max="16384" width="8.7265625" style="53"/>
  </cols>
  <sheetData>
    <row r="1" spans="1:16" ht="17.25" customHeight="1" thickBot="1" x14ac:dyDescent="0.55000000000000004">
      <c r="B1" s="250" t="s">
        <v>49</v>
      </c>
      <c r="C1" s="249"/>
      <c r="D1" s="249"/>
      <c r="E1" s="249"/>
      <c r="F1" s="249"/>
      <c r="G1" s="249"/>
      <c r="H1" s="249"/>
      <c r="I1" s="249"/>
      <c r="J1" s="249"/>
      <c r="K1" s="249"/>
      <c r="L1" s="249"/>
      <c r="M1" s="249"/>
      <c r="N1" s="249"/>
    </row>
    <row r="2" spans="1:16" ht="15.75" customHeight="1" x14ac:dyDescent="0.35">
      <c r="A2" s="221" t="s">
        <v>50</v>
      </c>
      <c r="B2" s="1596" t="s">
        <v>51</v>
      </c>
      <c r="C2" s="1597"/>
      <c r="D2" s="1597"/>
      <c r="E2" s="1597"/>
      <c r="F2" s="1597"/>
      <c r="G2" s="1597"/>
      <c r="H2" s="1598"/>
      <c r="I2" s="1599" t="s">
        <v>52</v>
      </c>
      <c r="J2" s="1601" t="s">
        <v>159</v>
      </c>
      <c r="K2" s="1601" t="s">
        <v>53</v>
      </c>
      <c r="L2" s="1601" t="s">
        <v>53</v>
      </c>
      <c r="M2" s="1551" t="s">
        <v>54</v>
      </c>
      <c r="N2" s="1551" t="s">
        <v>339</v>
      </c>
    </row>
    <row r="3" spans="1:16" s="141" customFormat="1" ht="15" customHeight="1" thickBot="1" x14ac:dyDescent="0.35">
      <c r="A3" s="222"/>
      <c r="B3" s="55">
        <v>2014</v>
      </c>
      <c r="C3" s="55">
        <v>2015</v>
      </c>
      <c r="D3" s="55">
        <v>2016</v>
      </c>
      <c r="E3" s="55">
        <v>2017</v>
      </c>
      <c r="F3" s="55">
        <v>2018</v>
      </c>
      <c r="G3" s="55">
        <v>2019</v>
      </c>
      <c r="H3" s="56">
        <v>2020</v>
      </c>
      <c r="I3" s="1600"/>
      <c r="J3" s="1602"/>
      <c r="K3" s="1602"/>
      <c r="L3" s="1602"/>
      <c r="M3" s="1552"/>
      <c r="N3" s="1552"/>
    </row>
    <row r="4" spans="1:16" s="141" customFormat="1" ht="12" x14ac:dyDescent="0.3">
      <c r="A4" s="215">
        <v>1</v>
      </c>
      <c r="B4" s="215">
        <v>2</v>
      </c>
      <c r="C4" s="215">
        <v>3</v>
      </c>
      <c r="D4" s="215">
        <v>4</v>
      </c>
      <c r="E4" s="215">
        <v>5</v>
      </c>
      <c r="F4" s="215">
        <v>6</v>
      </c>
      <c r="G4" s="215">
        <v>7</v>
      </c>
      <c r="H4" s="215">
        <v>8</v>
      </c>
      <c r="I4" s="215">
        <v>9</v>
      </c>
      <c r="J4" s="215">
        <v>10</v>
      </c>
      <c r="K4" s="215">
        <v>11</v>
      </c>
      <c r="L4" s="215">
        <v>12</v>
      </c>
      <c r="M4" s="215">
        <v>13</v>
      </c>
      <c r="N4" s="215">
        <v>14</v>
      </c>
      <c r="O4" s="215">
        <v>15</v>
      </c>
    </row>
    <row r="5" spans="1:16" s="141" customFormat="1" ht="14.25" customHeight="1" x14ac:dyDescent="0.3">
      <c r="A5" s="142" t="s">
        <v>55</v>
      </c>
      <c r="B5" s="143"/>
      <c r="C5" s="144"/>
      <c r="D5" s="144"/>
      <c r="E5" s="144"/>
      <c r="F5" s="144"/>
      <c r="G5" s="144"/>
      <c r="H5" s="144"/>
      <c r="I5" s="145"/>
      <c r="J5" s="146">
        <v>1</v>
      </c>
      <c r="K5" s="146"/>
      <c r="L5" s="146"/>
      <c r="M5" s="146"/>
      <c r="N5" s="146"/>
    </row>
    <row r="6" spans="1:16" s="150" customFormat="1" ht="26" x14ac:dyDescent="0.3">
      <c r="A6" s="122" t="s">
        <v>56</v>
      </c>
      <c r="B6" s="69">
        <v>0.9</v>
      </c>
      <c r="C6" s="130"/>
      <c r="D6" s="130"/>
      <c r="E6" s="130"/>
      <c r="F6" s="130"/>
      <c r="G6" s="131"/>
      <c r="H6" s="131"/>
      <c r="I6" s="380" t="s">
        <v>435</v>
      </c>
      <c r="J6" s="147">
        <f>J5</f>
        <v>1</v>
      </c>
      <c r="K6" s="147"/>
      <c r="L6" s="147"/>
      <c r="M6" s="147"/>
      <c r="N6" s="148">
        <v>6700</v>
      </c>
      <c r="O6" s="149" t="s">
        <v>57</v>
      </c>
    </row>
    <row r="7" spans="1:16" s="150" customFormat="1" ht="13" x14ac:dyDescent="0.3">
      <c r="A7" s="122" t="s">
        <v>58</v>
      </c>
      <c r="B7" s="69">
        <v>1</v>
      </c>
      <c r="C7" s="130">
        <v>3.5</v>
      </c>
      <c r="D7" s="130"/>
      <c r="E7" s="130"/>
      <c r="F7" s="130"/>
      <c r="G7" s="131"/>
      <c r="H7" s="131"/>
      <c r="I7" s="380" t="s">
        <v>59</v>
      </c>
      <c r="J7" s="147">
        <f t="shared" ref="J7:J42" si="0">J6</f>
        <v>1</v>
      </c>
      <c r="K7" s="147">
        <v>10.4</v>
      </c>
      <c r="L7" s="147"/>
      <c r="M7" s="147"/>
      <c r="N7" s="151">
        <v>27600</v>
      </c>
      <c r="O7" s="149" t="s">
        <v>57</v>
      </c>
    </row>
    <row r="8" spans="1:16" s="150" customFormat="1" ht="26" x14ac:dyDescent="0.3">
      <c r="A8" s="122" t="s">
        <v>60</v>
      </c>
      <c r="B8" s="113"/>
      <c r="C8" s="130"/>
      <c r="D8" s="130"/>
      <c r="E8" s="130">
        <v>6</v>
      </c>
      <c r="F8" s="130">
        <v>14</v>
      </c>
      <c r="G8" s="152"/>
      <c r="H8" s="131"/>
      <c r="I8" s="380" t="s">
        <v>141</v>
      </c>
      <c r="J8" s="213">
        <f t="shared" si="0"/>
        <v>1</v>
      </c>
      <c r="K8" s="147">
        <v>9</v>
      </c>
      <c r="L8" s="147">
        <v>10.199999999999999</v>
      </c>
      <c r="M8" s="147">
        <v>1.2</v>
      </c>
      <c r="N8" s="151">
        <v>27600</v>
      </c>
      <c r="O8" s="149" t="s">
        <v>61</v>
      </c>
    </row>
    <row r="9" spans="1:16" s="150" customFormat="1" ht="65" x14ac:dyDescent="0.3">
      <c r="A9" s="122" t="s">
        <v>62</v>
      </c>
      <c r="B9" s="113"/>
      <c r="C9" s="130"/>
      <c r="D9" s="152">
        <v>3</v>
      </c>
      <c r="E9" s="130">
        <v>7</v>
      </c>
      <c r="F9" s="153"/>
      <c r="G9" s="131"/>
      <c r="H9" s="131"/>
      <c r="I9" s="380" t="s">
        <v>63</v>
      </c>
      <c r="J9" s="62">
        <f t="shared" si="0"/>
        <v>1</v>
      </c>
      <c r="K9" s="59">
        <v>183</v>
      </c>
      <c r="L9" s="59">
        <v>187.5</v>
      </c>
      <c r="M9" s="59">
        <f>L9-K9</f>
        <v>4.5</v>
      </c>
      <c r="N9" s="59">
        <v>6700</v>
      </c>
      <c r="O9" s="95" t="s">
        <v>61</v>
      </c>
      <c r="P9" s="95"/>
    </row>
    <row r="10" spans="1:16" s="95" customFormat="1" ht="13" x14ac:dyDescent="0.3">
      <c r="A10" s="155" t="s">
        <v>64</v>
      </c>
      <c r="B10" s="133"/>
      <c r="C10" s="133"/>
      <c r="D10" s="133"/>
      <c r="E10" s="129"/>
      <c r="F10" s="129"/>
      <c r="G10" s="129"/>
      <c r="H10" s="129"/>
      <c r="I10" s="381"/>
      <c r="J10" s="161">
        <v>2</v>
      </c>
      <c r="K10" s="60"/>
      <c r="L10" s="60"/>
      <c r="M10" s="60"/>
      <c r="N10" s="60"/>
      <c r="O10" s="156"/>
      <c r="P10" s="156"/>
    </row>
    <row r="11" spans="1:16" s="156" customFormat="1" ht="36" x14ac:dyDescent="0.3">
      <c r="A11" s="123" t="s">
        <v>457</v>
      </c>
      <c r="B11" s="134"/>
      <c r="C11" s="130"/>
      <c r="D11" s="130"/>
      <c r="E11" s="135"/>
      <c r="F11" s="135"/>
      <c r="G11" s="135">
        <v>0</v>
      </c>
      <c r="H11" s="135"/>
      <c r="I11" s="382" t="s">
        <v>137</v>
      </c>
      <c r="J11" s="214">
        <f t="shared" si="0"/>
        <v>2</v>
      </c>
      <c r="K11" s="109">
        <v>12.6</v>
      </c>
      <c r="L11" s="109">
        <v>20</v>
      </c>
      <c r="M11" s="109">
        <v>7.4</v>
      </c>
      <c r="N11" s="109">
        <v>12200</v>
      </c>
      <c r="O11" s="156" t="s">
        <v>79</v>
      </c>
    </row>
    <row r="12" spans="1:16" s="156" customFormat="1" ht="13" x14ac:dyDescent="0.3">
      <c r="A12" s="122" t="s">
        <v>65</v>
      </c>
      <c r="B12" s="69">
        <v>1.3</v>
      </c>
      <c r="C12" s="130"/>
      <c r="D12" s="152"/>
      <c r="E12" s="130"/>
      <c r="F12" s="130"/>
      <c r="G12" s="130"/>
      <c r="H12" s="130"/>
      <c r="I12" s="380" t="s">
        <v>136</v>
      </c>
      <c r="J12" s="62">
        <f t="shared" si="0"/>
        <v>2</v>
      </c>
      <c r="K12" s="59"/>
      <c r="L12" s="59"/>
      <c r="M12" s="59"/>
      <c r="N12" s="62"/>
      <c r="O12" s="95" t="s">
        <v>57</v>
      </c>
      <c r="P12" s="95"/>
    </row>
    <row r="13" spans="1:16" s="95" customFormat="1" ht="39" x14ac:dyDescent="0.3">
      <c r="A13" s="122" t="s">
        <v>66</v>
      </c>
      <c r="B13" s="130"/>
      <c r="C13" s="130"/>
      <c r="D13" s="170"/>
      <c r="E13" s="130"/>
      <c r="F13" s="130"/>
      <c r="G13" s="130"/>
      <c r="H13" s="130"/>
      <c r="I13" s="380" t="s">
        <v>67</v>
      </c>
      <c r="J13" s="62">
        <f t="shared" si="0"/>
        <v>2</v>
      </c>
      <c r="K13" s="59">
        <v>40</v>
      </c>
      <c r="L13" s="59">
        <v>85</v>
      </c>
      <c r="M13" s="59">
        <f>L13-K13</f>
        <v>45</v>
      </c>
      <c r="N13" s="62">
        <v>7700</v>
      </c>
      <c r="O13" s="391" t="s">
        <v>68</v>
      </c>
    </row>
    <row r="14" spans="1:16" s="95" customFormat="1" ht="52" x14ac:dyDescent="0.3">
      <c r="A14" s="122" t="s">
        <v>69</v>
      </c>
      <c r="B14" s="69">
        <v>4</v>
      </c>
      <c r="C14" s="130">
        <v>7.7</v>
      </c>
      <c r="D14" s="152"/>
      <c r="E14" s="130"/>
      <c r="F14" s="130"/>
      <c r="G14" s="130"/>
      <c r="H14" s="130"/>
      <c r="I14" s="380" t="s">
        <v>142</v>
      </c>
      <c r="J14" s="62">
        <f t="shared" si="0"/>
        <v>2</v>
      </c>
      <c r="K14" s="59">
        <v>188.5</v>
      </c>
      <c r="L14" s="59">
        <v>191.6</v>
      </c>
      <c r="M14" s="59">
        <v>3.1</v>
      </c>
      <c r="N14" s="62">
        <v>12000</v>
      </c>
      <c r="O14" s="95" t="s">
        <v>57</v>
      </c>
    </row>
    <row r="15" spans="1:16" s="95" customFormat="1" ht="39.75" customHeight="1" x14ac:dyDescent="0.3">
      <c r="A15" s="122" t="s">
        <v>70</v>
      </c>
      <c r="B15" s="69">
        <v>2</v>
      </c>
      <c r="C15" s="130">
        <v>2.9</v>
      </c>
      <c r="D15" s="131"/>
      <c r="E15" s="130"/>
      <c r="F15" s="130"/>
      <c r="G15" s="130"/>
      <c r="H15" s="130"/>
      <c r="I15" s="380" t="s">
        <v>71</v>
      </c>
      <c r="J15" s="62">
        <f t="shared" si="0"/>
        <v>2</v>
      </c>
      <c r="K15" s="59">
        <v>181.9</v>
      </c>
      <c r="L15" s="59">
        <v>184.1</v>
      </c>
      <c r="M15" s="59">
        <f>L15-K15</f>
        <v>2.1999999999999886</v>
      </c>
      <c r="N15" s="62">
        <v>12000</v>
      </c>
      <c r="O15" s="95" t="s">
        <v>61</v>
      </c>
    </row>
    <row r="16" spans="1:16" s="95" customFormat="1" ht="52" x14ac:dyDescent="0.3">
      <c r="A16" s="122" t="s">
        <v>450</v>
      </c>
      <c r="B16" s="130"/>
      <c r="C16" s="130"/>
      <c r="D16" s="130"/>
      <c r="E16" s="130"/>
      <c r="F16" s="157">
        <v>0</v>
      </c>
      <c r="G16" s="157">
        <v>0</v>
      </c>
      <c r="H16" s="130">
        <v>14.3687</v>
      </c>
      <c r="I16" s="380" t="s">
        <v>143</v>
      </c>
      <c r="J16" s="62">
        <f t="shared" si="0"/>
        <v>2</v>
      </c>
      <c r="K16" s="59">
        <v>184.1</v>
      </c>
      <c r="L16" s="59">
        <v>185.9</v>
      </c>
      <c r="M16" s="59">
        <f>L16-K16</f>
        <v>1.8000000000000114</v>
      </c>
      <c r="N16" s="62">
        <v>12200</v>
      </c>
      <c r="O16" s="95" t="s">
        <v>79</v>
      </c>
      <c r="P16" s="95" t="s">
        <v>73</v>
      </c>
    </row>
    <row r="17" spans="1:16" s="95" customFormat="1" ht="13" x14ac:dyDescent="0.3">
      <c r="A17" s="124" t="s">
        <v>74</v>
      </c>
      <c r="B17" s="114"/>
      <c r="C17" s="130"/>
      <c r="D17" s="130"/>
      <c r="E17" s="130">
        <v>4</v>
      </c>
      <c r="F17" s="130">
        <v>6</v>
      </c>
      <c r="G17" s="130"/>
      <c r="H17" s="130"/>
      <c r="I17" s="383" t="s">
        <v>75</v>
      </c>
      <c r="J17" s="62">
        <f t="shared" si="0"/>
        <v>2</v>
      </c>
      <c r="K17" s="59">
        <v>128</v>
      </c>
      <c r="L17" s="59">
        <v>181.5</v>
      </c>
      <c r="M17" s="59">
        <f>L17-K17</f>
        <v>53.5</v>
      </c>
      <c r="N17" s="59">
        <v>6500</v>
      </c>
      <c r="O17" s="95" t="s">
        <v>61</v>
      </c>
    </row>
    <row r="18" spans="1:16" s="95" customFormat="1" ht="13" x14ac:dyDescent="0.3">
      <c r="A18" s="155" t="s">
        <v>76</v>
      </c>
      <c r="B18" s="133"/>
      <c r="C18" s="133"/>
      <c r="D18" s="133"/>
      <c r="E18" s="129"/>
      <c r="F18" s="129"/>
      <c r="G18" s="129"/>
      <c r="H18" s="129"/>
      <c r="I18" s="381"/>
      <c r="J18" s="161">
        <v>3</v>
      </c>
      <c r="K18" s="60"/>
      <c r="L18" s="60"/>
      <c r="M18" s="60"/>
      <c r="N18" s="63"/>
      <c r="O18" s="156"/>
      <c r="P18" s="156"/>
    </row>
    <row r="19" spans="1:16" s="95" customFormat="1" ht="13" x14ac:dyDescent="0.3">
      <c r="A19" s="155" t="s">
        <v>77</v>
      </c>
      <c r="B19" s="133"/>
      <c r="C19" s="133"/>
      <c r="D19" s="133"/>
      <c r="E19" s="129"/>
      <c r="F19" s="129"/>
      <c r="G19" s="129"/>
      <c r="H19" s="129"/>
      <c r="I19" s="381"/>
      <c r="J19" s="161">
        <v>4</v>
      </c>
      <c r="K19" s="60"/>
      <c r="L19" s="60"/>
      <c r="M19" s="60"/>
      <c r="N19" s="64"/>
      <c r="O19" s="156"/>
      <c r="P19" s="156"/>
    </row>
    <row r="20" spans="1:16" s="156" customFormat="1" ht="72" x14ac:dyDescent="0.3">
      <c r="A20" s="122" t="s">
        <v>78</v>
      </c>
      <c r="B20" s="130">
        <v>9</v>
      </c>
      <c r="C20" s="130"/>
      <c r="D20" s="130">
        <v>3</v>
      </c>
      <c r="E20" s="130"/>
      <c r="F20" s="130"/>
      <c r="G20" s="131"/>
      <c r="H20" s="130"/>
      <c r="I20" s="383" t="s">
        <v>144</v>
      </c>
      <c r="J20" s="62">
        <f t="shared" si="0"/>
        <v>4</v>
      </c>
      <c r="K20" s="59">
        <v>14.7</v>
      </c>
      <c r="L20" s="59"/>
      <c r="M20" s="59"/>
      <c r="N20" s="62">
        <v>3000</v>
      </c>
      <c r="O20" s="95" t="s">
        <v>79</v>
      </c>
      <c r="P20" s="95"/>
    </row>
    <row r="21" spans="1:16" s="156" customFormat="1" ht="26" x14ac:dyDescent="0.3">
      <c r="A21" s="122" t="s">
        <v>80</v>
      </c>
      <c r="B21" s="69"/>
      <c r="C21" s="130"/>
      <c r="D21" s="130">
        <v>2</v>
      </c>
      <c r="E21" s="130">
        <v>2</v>
      </c>
      <c r="F21" s="130"/>
      <c r="G21" s="131"/>
      <c r="H21" s="130"/>
      <c r="I21" s="384" t="s">
        <v>145</v>
      </c>
      <c r="J21" s="62">
        <f t="shared" si="0"/>
        <v>4</v>
      </c>
      <c r="K21" s="59">
        <v>13</v>
      </c>
      <c r="L21" s="59">
        <v>16</v>
      </c>
      <c r="M21" s="59">
        <f>L21-K21</f>
        <v>3</v>
      </c>
      <c r="N21" s="62" t="s">
        <v>131</v>
      </c>
      <c r="O21" s="95" t="s">
        <v>61</v>
      </c>
      <c r="P21" s="95"/>
    </row>
    <row r="22" spans="1:16" s="95" customFormat="1" ht="26" x14ac:dyDescent="0.3">
      <c r="A22" s="122" t="s">
        <v>81</v>
      </c>
      <c r="B22" s="113"/>
      <c r="C22" s="130"/>
      <c r="D22" s="130">
        <v>3</v>
      </c>
      <c r="E22" s="152">
        <v>12</v>
      </c>
      <c r="F22" s="130"/>
      <c r="G22" s="130"/>
      <c r="H22" s="130"/>
      <c r="I22" s="380" t="s">
        <v>82</v>
      </c>
      <c r="J22" s="62">
        <f t="shared" si="0"/>
        <v>4</v>
      </c>
      <c r="K22" s="59">
        <v>28</v>
      </c>
      <c r="L22" s="59">
        <v>37</v>
      </c>
      <c r="M22" s="59">
        <f>L22-K22</f>
        <v>9</v>
      </c>
      <c r="N22" s="62">
        <v>8000</v>
      </c>
      <c r="O22" s="95" t="s">
        <v>61</v>
      </c>
    </row>
    <row r="23" spans="1:16" s="95" customFormat="1" ht="26" x14ac:dyDescent="0.3">
      <c r="A23" s="122" t="s">
        <v>83</v>
      </c>
      <c r="B23" s="113"/>
      <c r="C23" s="130"/>
      <c r="D23" s="130"/>
      <c r="E23" s="130"/>
      <c r="F23" s="130">
        <v>6</v>
      </c>
      <c r="G23" s="152">
        <v>4</v>
      </c>
      <c r="H23" s="131"/>
      <c r="I23" s="380" t="s">
        <v>84</v>
      </c>
      <c r="J23" s="62">
        <f t="shared" si="0"/>
        <v>4</v>
      </c>
      <c r="K23" s="59">
        <v>37</v>
      </c>
      <c r="L23" s="59">
        <v>42</v>
      </c>
      <c r="M23" s="59">
        <f>L23-K23</f>
        <v>5</v>
      </c>
      <c r="N23" s="62">
        <v>7000</v>
      </c>
      <c r="O23" s="95" t="s">
        <v>61</v>
      </c>
    </row>
    <row r="24" spans="1:16" s="95" customFormat="1" ht="26" x14ac:dyDescent="0.3">
      <c r="A24" s="122" t="s">
        <v>85</v>
      </c>
      <c r="B24" s="113"/>
      <c r="C24" s="130"/>
      <c r="D24" s="158">
        <v>4</v>
      </c>
      <c r="E24" s="158">
        <v>4</v>
      </c>
      <c r="F24" s="130"/>
      <c r="G24" s="130"/>
      <c r="H24" s="130"/>
      <c r="I24" s="380" t="s">
        <v>86</v>
      </c>
      <c r="J24" s="62">
        <f t="shared" si="0"/>
        <v>4</v>
      </c>
      <c r="K24" s="59">
        <v>120.3</v>
      </c>
      <c r="L24" s="59">
        <v>124.1</v>
      </c>
      <c r="M24" s="59">
        <f>L24-K24</f>
        <v>3.7999999999999972</v>
      </c>
      <c r="N24" s="62">
        <v>11300</v>
      </c>
      <c r="O24" s="95" t="s">
        <v>61</v>
      </c>
    </row>
    <row r="25" spans="1:16" s="95" customFormat="1" ht="39" x14ac:dyDescent="0.3">
      <c r="A25" s="122" t="s">
        <v>135</v>
      </c>
      <c r="B25" s="132"/>
      <c r="C25" s="130"/>
      <c r="D25" s="171"/>
      <c r="E25" s="158"/>
      <c r="F25" s="130"/>
      <c r="G25" s="157">
        <v>0</v>
      </c>
      <c r="H25" s="157">
        <v>0</v>
      </c>
      <c r="I25" s="380" t="s">
        <v>146</v>
      </c>
      <c r="J25" s="62">
        <f t="shared" si="0"/>
        <v>4</v>
      </c>
      <c r="K25" s="59">
        <v>134</v>
      </c>
      <c r="L25" s="59">
        <v>141</v>
      </c>
      <c r="M25" s="59">
        <f>L25-K25</f>
        <v>7</v>
      </c>
      <c r="N25" s="62">
        <v>8500</v>
      </c>
      <c r="O25" s="95" t="s">
        <v>79</v>
      </c>
    </row>
    <row r="26" spans="1:16" s="95" customFormat="1" ht="13" x14ac:dyDescent="0.3">
      <c r="A26" s="155" t="s">
        <v>87</v>
      </c>
      <c r="B26" s="133"/>
      <c r="C26" s="133"/>
      <c r="D26" s="133"/>
      <c r="E26" s="129"/>
      <c r="F26" s="129"/>
      <c r="G26" s="129"/>
      <c r="H26" s="129"/>
      <c r="I26" s="381"/>
      <c r="J26" s="161">
        <v>5</v>
      </c>
      <c r="K26" s="60"/>
      <c r="L26" s="60"/>
      <c r="M26" s="60"/>
      <c r="N26" s="63"/>
      <c r="O26" s="156"/>
      <c r="P26" s="156"/>
    </row>
    <row r="27" spans="1:16" s="95" customFormat="1" ht="65" x14ac:dyDescent="0.3">
      <c r="A27" s="124" t="s">
        <v>88</v>
      </c>
      <c r="B27" s="159">
        <v>1.69</v>
      </c>
      <c r="C27" s="130"/>
      <c r="D27" s="172"/>
      <c r="E27" s="130"/>
      <c r="F27" s="130"/>
      <c r="G27" s="130"/>
      <c r="H27" s="130"/>
      <c r="I27" s="385" t="s">
        <v>147</v>
      </c>
      <c r="J27" s="62">
        <f t="shared" si="0"/>
        <v>5</v>
      </c>
      <c r="K27" s="59">
        <v>1.5</v>
      </c>
      <c r="L27" s="59">
        <v>4.2</v>
      </c>
      <c r="M27" s="59">
        <f>L27-K27</f>
        <v>2.7</v>
      </c>
      <c r="N27" s="62">
        <v>5800</v>
      </c>
      <c r="O27" s="95" t="s">
        <v>61</v>
      </c>
    </row>
    <row r="28" spans="1:16" s="95" customFormat="1" ht="26" x14ac:dyDescent="0.3">
      <c r="A28" s="124" t="s">
        <v>89</v>
      </c>
      <c r="B28" s="160">
        <v>1</v>
      </c>
      <c r="C28" s="173">
        <v>3.2</v>
      </c>
      <c r="D28" s="130"/>
      <c r="E28" s="130"/>
      <c r="F28" s="130"/>
      <c r="G28" s="130"/>
      <c r="H28" s="130"/>
      <c r="I28" s="380" t="s">
        <v>148</v>
      </c>
      <c r="J28" s="62">
        <f t="shared" si="0"/>
        <v>5</v>
      </c>
      <c r="K28" s="59">
        <v>74.7</v>
      </c>
      <c r="L28" s="59">
        <v>78.7</v>
      </c>
      <c r="M28" s="59">
        <f>L28-K28</f>
        <v>4</v>
      </c>
      <c r="N28" s="61">
        <v>4300</v>
      </c>
      <c r="O28" s="95" t="s">
        <v>61</v>
      </c>
    </row>
    <row r="29" spans="1:16" s="156" customFormat="1" ht="13" x14ac:dyDescent="0.3">
      <c r="A29" s="155" t="s">
        <v>90</v>
      </c>
      <c r="B29" s="133"/>
      <c r="C29" s="133"/>
      <c r="D29" s="133"/>
      <c r="E29" s="129"/>
      <c r="F29" s="129"/>
      <c r="G29" s="129"/>
      <c r="H29" s="129"/>
      <c r="I29" s="381"/>
      <c r="J29" s="161">
        <v>8</v>
      </c>
      <c r="K29" s="60"/>
      <c r="L29" s="60"/>
      <c r="M29" s="60"/>
      <c r="N29" s="60"/>
    </row>
    <row r="30" spans="1:16" s="95" customFormat="1" ht="39" x14ac:dyDescent="0.3">
      <c r="A30" s="122" t="s">
        <v>91</v>
      </c>
      <c r="B30" s="69">
        <v>2</v>
      </c>
      <c r="C30" s="130">
        <v>4.6100000000000003</v>
      </c>
      <c r="D30" s="152"/>
      <c r="E30" s="130"/>
      <c r="F30" s="130"/>
      <c r="G30" s="130"/>
      <c r="H30" s="130"/>
      <c r="I30" s="380" t="s">
        <v>149</v>
      </c>
      <c r="J30" s="58">
        <f t="shared" si="0"/>
        <v>8</v>
      </c>
      <c r="K30" s="57">
        <v>24.7</v>
      </c>
      <c r="L30" s="57">
        <v>29.4</v>
      </c>
      <c r="M30" s="57">
        <f>L30-K30</f>
        <v>4.6999999999999993</v>
      </c>
      <c r="N30" s="62" t="s">
        <v>132</v>
      </c>
      <c r="O30" s="95" t="s">
        <v>61</v>
      </c>
    </row>
    <row r="31" spans="1:16" s="95" customFormat="1" ht="13" x14ac:dyDescent="0.3">
      <c r="A31" s="155" t="s">
        <v>92</v>
      </c>
      <c r="B31" s="133"/>
      <c r="C31" s="133"/>
      <c r="D31" s="133"/>
      <c r="E31" s="129"/>
      <c r="F31" s="129"/>
      <c r="G31" s="129"/>
      <c r="H31" s="129"/>
      <c r="I31" s="381"/>
      <c r="J31" s="161">
        <v>9</v>
      </c>
      <c r="K31" s="60"/>
      <c r="L31" s="60"/>
      <c r="M31" s="60"/>
      <c r="N31" s="60"/>
      <c r="O31" s="156"/>
      <c r="P31" s="156"/>
    </row>
    <row r="32" spans="1:16" s="156" customFormat="1" ht="13" x14ac:dyDescent="0.3">
      <c r="A32" s="155" t="s">
        <v>93</v>
      </c>
      <c r="B32" s="133"/>
      <c r="C32" s="133"/>
      <c r="D32" s="133"/>
      <c r="E32" s="129"/>
      <c r="F32" s="129"/>
      <c r="G32" s="129"/>
      <c r="H32" s="129"/>
      <c r="I32" s="381"/>
      <c r="J32" s="161">
        <v>10</v>
      </c>
      <c r="K32" s="161"/>
      <c r="L32" s="161"/>
      <c r="M32" s="161"/>
      <c r="N32" s="60"/>
    </row>
    <row r="33" spans="1:16" s="156" customFormat="1" ht="30" customHeight="1" x14ac:dyDescent="0.3">
      <c r="A33" s="155" t="s">
        <v>94</v>
      </c>
      <c r="B33" s="133"/>
      <c r="C33" s="133"/>
      <c r="D33" s="133"/>
      <c r="E33" s="129"/>
      <c r="F33" s="129"/>
      <c r="G33" s="129"/>
      <c r="H33" s="129"/>
      <c r="I33" s="381"/>
      <c r="J33" s="161">
        <v>11</v>
      </c>
      <c r="K33" s="161"/>
      <c r="L33" s="161"/>
      <c r="M33" s="161"/>
      <c r="N33" s="60"/>
      <c r="O33" s="95"/>
      <c r="P33" s="95"/>
    </row>
    <row r="34" spans="1:16" s="95" customFormat="1" ht="37.5" customHeight="1" x14ac:dyDescent="0.3">
      <c r="A34" s="122" t="s">
        <v>95</v>
      </c>
      <c r="B34" s="69">
        <v>9</v>
      </c>
      <c r="C34" s="130">
        <v>11</v>
      </c>
      <c r="D34" s="130"/>
      <c r="E34" s="130"/>
      <c r="F34" s="130"/>
      <c r="G34" s="130"/>
      <c r="H34" s="130"/>
      <c r="I34" s="380" t="s">
        <v>96</v>
      </c>
      <c r="J34" s="58">
        <f t="shared" si="0"/>
        <v>11</v>
      </c>
      <c r="K34" s="57">
        <v>11.8</v>
      </c>
      <c r="L34" s="57">
        <v>16.2</v>
      </c>
      <c r="M34" s="57"/>
      <c r="N34" s="58">
        <v>13700</v>
      </c>
      <c r="O34" s="149" t="s">
        <v>57</v>
      </c>
      <c r="P34" s="162"/>
    </row>
    <row r="35" spans="1:16" s="156" customFormat="1" ht="39" x14ac:dyDescent="0.3">
      <c r="A35" s="122" t="s">
        <v>97</v>
      </c>
      <c r="B35" s="69">
        <v>4.4000000000000004</v>
      </c>
      <c r="C35" s="130"/>
      <c r="D35" s="130"/>
      <c r="E35" s="130"/>
      <c r="F35" s="130"/>
      <c r="G35" s="130"/>
      <c r="H35" s="130"/>
      <c r="I35" s="380" t="s">
        <v>150</v>
      </c>
      <c r="J35" s="58">
        <f t="shared" si="0"/>
        <v>11</v>
      </c>
      <c r="K35" s="57">
        <v>16.2</v>
      </c>
      <c r="L35" s="57">
        <v>17.8</v>
      </c>
      <c r="M35" s="57"/>
      <c r="N35" s="58">
        <v>10100</v>
      </c>
      <c r="O35" s="149" t="s">
        <v>57</v>
      </c>
      <c r="P35" s="162"/>
    </row>
    <row r="36" spans="1:16" s="156" customFormat="1" ht="78" x14ac:dyDescent="0.3">
      <c r="A36" s="122" t="s">
        <v>98</v>
      </c>
      <c r="B36" s="69"/>
      <c r="C36" s="130">
        <v>0.3</v>
      </c>
      <c r="D36" s="130">
        <v>12.5</v>
      </c>
      <c r="E36" s="130">
        <v>15</v>
      </c>
      <c r="F36" s="130">
        <v>19</v>
      </c>
      <c r="G36" s="130">
        <v>7</v>
      </c>
      <c r="H36" s="130"/>
      <c r="I36" s="380" t="s">
        <v>99</v>
      </c>
      <c r="J36" s="58">
        <f t="shared" si="0"/>
        <v>11</v>
      </c>
      <c r="K36" s="57">
        <v>0.6</v>
      </c>
      <c r="L36" s="57">
        <v>11.3</v>
      </c>
      <c r="M36" s="57">
        <f>L36-K36</f>
        <v>10.700000000000001</v>
      </c>
      <c r="N36" s="58">
        <v>12000</v>
      </c>
      <c r="O36" s="95" t="s">
        <v>61</v>
      </c>
      <c r="P36" s="162"/>
    </row>
    <row r="37" spans="1:16" s="95" customFormat="1" ht="39" x14ac:dyDescent="0.3">
      <c r="A37" s="125" t="s">
        <v>100</v>
      </c>
      <c r="B37" s="81"/>
      <c r="C37" s="138"/>
      <c r="D37" s="138"/>
      <c r="E37" s="138"/>
      <c r="F37" s="138">
        <v>9</v>
      </c>
      <c r="G37" s="139"/>
      <c r="H37" s="138"/>
      <c r="I37" s="380" t="s">
        <v>130</v>
      </c>
      <c r="J37" s="58">
        <f t="shared" si="0"/>
        <v>11</v>
      </c>
      <c r="K37" s="57">
        <v>30.7</v>
      </c>
      <c r="L37" s="57">
        <v>34</v>
      </c>
      <c r="M37" s="57">
        <f>L37-K37</f>
        <v>3.3000000000000007</v>
      </c>
      <c r="N37" s="58" t="s">
        <v>133</v>
      </c>
      <c r="O37" s="95" t="s">
        <v>61</v>
      </c>
      <c r="P37" s="162"/>
    </row>
    <row r="38" spans="1:16" s="162" customFormat="1" ht="26" x14ac:dyDescent="0.3">
      <c r="A38" s="411" t="s">
        <v>138</v>
      </c>
      <c r="B38" s="412"/>
      <c r="C38" s="413"/>
      <c r="D38" s="413"/>
      <c r="E38" s="413"/>
      <c r="F38" s="413">
        <v>7</v>
      </c>
      <c r="G38" s="414"/>
      <c r="H38" s="413"/>
      <c r="I38" s="410" t="s">
        <v>152</v>
      </c>
      <c r="J38" s="409">
        <f t="shared" si="0"/>
        <v>11</v>
      </c>
      <c r="K38" s="415">
        <v>20</v>
      </c>
      <c r="L38" s="415">
        <v>24.1</v>
      </c>
      <c r="M38" s="415">
        <v>4.0999999999999996</v>
      </c>
      <c r="N38" s="409">
        <v>8100</v>
      </c>
      <c r="O38" s="95" t="s">
        <v>61</v>
      </c>
    </row>
    <row r="39" spans="1:16" s="162" customFormat="1" ht="26" x14ac:dyDescent="0.3">
      <c r="A39" s="411" t="s">
        <v>138</v>
      </c>
      <c r="B39" s="412"/>
      <c r="C39" s="413"/>
      <c r="D39" s="413"/>
      <c r="E39" s="413"/>
      <c r="F39" s="413"/>
      <c r="G39" s="414"/>
      <c r="H39" s="413">
        <v>8</v>
      </c>
      <c r="I39" s="410" t="s">
        <v>152</v>
      </c>
      <c r="J39" s="409">
        <f t="shared" si="0"/>
        <v>11</v>
      </c>
      <c r="K39" s="415">
        <v>20</v>
      </c>
      <c r="L39" s="415">
        <v>24.1</v>
      </c>
      <c r="M39" s="415">
        <v>4.0999999999999996</v>
      </c>
      <c r="N39" s="409">
        <v>8100</v>
      </c>
      <c r="O39" s="156" t="s">
        <v>79</v>
      </c>
    </row>
    <row r="40" spans="1:16" s="162" customFormat="1" ht="13" x14ac:dyDescent="0.3">
      <c r="A40" s="126" t="s">
        <v>101</v>
      </c>
      <c r="B40" s="115"/>
      <c r="C40" s="137"/>
      <c r="D40" s="138"/>
      <c r="E40" s="139">
        <v>6.5</v>
      </c>
      <c r="F40" s="138"/>
      <c r="G40" s="138"/>
      <c r="H40" s="138"/>
      <c r="I40" s="383" t="s">
        <v>102</v>
      </c>
      <c r="J40" s="62">
        <f>J38</f>
        <v>11</v>
      </c>
      <c r="K40" s="59">
        <v>24.1</v>
      </c>
      <c r="L40" s="59">
        <v>28.5</v>
      </c>
      <c r="M40" s="59">
        <f>L40-K40</f>
        <v>4.3999999999999986</v>
      </c>
      <c r="N40" s="62" t="s">
        <v>134</v>
      </c>
      <c r="O40" s="95" t="s">
        <v>61</v>
      </c>
      <c r="P40" s="95"/>
    </row>
    <row r="41" spans="1:16" s="162" customFormat="1" ht="24" x14ac:dyDescent="0.3">
      <c r="A41" s="126" t="s">
        <v>103</v>
      </c>
      <c r="B41" s="136"/>
      <c r="C41" s="137"/>
      <c r="D41" s="138">
        <f>8.6-0.039</f>
        <v>8.5609999999999999</v>
      </c>
      <c r="E41" s="163">
        <v>2.923</v>
      </c>
      <c r="F41" s="138"/>
      <c r="G41" s="138"/>
      <c r="H41" s="138"/>
      <c r="I41" s="383" t="s">
        <v>151</v>
      </c>
      <c r="J41" s="62">
        <f t="shared" si="0"/>
        <v>11</v>
      </c>
      <c r="K41" s="59">
        <v>28.5</v>
      </c>
      <c r="L41" s="59">
        <v>29.8</v>
      </c>
      <c r="M41" s="59">
        <v>1.3</v>
      </c>
      <c r="N41" s="62">
        <v>8700</v>
      </c>
      <c r="O41" s="95" t="s">
        <v>79</v>
      </c>
      <c r="P41" s="95"/>
    </row>
    <row r="42" spans="1:16" s="162" customFormat="1" ht="13" x14ac:dyDescent="0.3">
      <c r="A42" s="155" t="s">
        <v>104</v>
      </c>
      <c r="B42" s="133"/>
      <c r="C42" s="133"/>
      <c r="D42" s="133"/>
      <c r="E42" s="129"/>
      <c r="F42" s="129"/>
      <c r="G42" s="129"/>
      <c r="H42" s="129"/>
      <c r="I42" s="381"/>
      <c r="J42" s="161">
        <f t="shared" si="0"/>
        <v>11</v>
      </c>
      <c r="K42" s="161"/>
      <c r="L42" s="161"/>
      <c r="M42" s="161"/>
      <c r="N42" s="60"/>
      <c r="O42" s="95"/>
      <c r="P42" s="95"/>
    </row>
    <row r="43" spans="1:16" s="162" customFormat="1" ht="13" x14ac:dyDescent="0.3">
      <c r="A43" s="122" t="s">
        <v>105</v>
      </c>
      <c r="B43" s="130"/>
      <c r="C43" s="130">
        <v>1.3</v>
      </c>
      <c r="D43" s="130"/>
      <c r="E43" s="130"/>
      <c r="F43" s="130"/>
      <c r="G43" s="130"/>
      <c r="H43" s="130"/>
      <c r="I43" s="380" t="s">
        <v>106</v>
      </c>
      <c r="J43" s="58">
        <v>1</v>
      </c>
      <c r="K43" s="57"/>
      <c r="L43" s="57"/>
      <c r="M43" s="57"/>
      <c r="N43" s="58">
        <v>6000</v>
      </c>
      <c r="O43" s="95" t="s">
        <v>79</v>
      </c>
    </row>
    <row r="44" spans="1:16" s="162" customFormat="1" ht="39.5" thickBot="1" x14ac:dyDescent="0.35">
      <c r="A44" s="125" t="s">
        <v>153</v>
      </c>
      <c r="B44" s="138"/>
      <c r="C44" s="138"/>
      <c r="D44" s="138"/>
      <c r="E44" s="174">
        <v>0</v>
      </c>
      <c r="F44" s="138"/>
      <c r="G44" s="138"/>
      <c r="H44" s="138">
        <v>2</v>
      </c>
      <c r="I44" s="380" t="s">
        <v>154</v>
      </c>
      <c r="J44" s="58">
        <v>11390</v>
      </c>
      <c r="K44" s="57">
        <v>2.6</v>
      </c>
      <c r="L44" s="57">
        <v>4.0999999999999996</v>
      </c>
      <c r="M44" s="57">
        <v>1.5</v>
      </c>
      <c r="N44" s="58">
        <v>15500</v>
      </c>
      <c r="O44" s="95" t="s">
        <v>79</v>
      </c>
    </row>
    <row r="45" spans="1:16" s="95" customFormat="1" ht="13.5" thickBot="1" x14ac:dyDescent="0.35">
      <c r="A45" s="164" t="s">
        <v>107</v>
      </c>
      <c r="B45" s="116">
        <f>SUM(B6:B44)</f>
        <v>36.29</v>
      </c>
      <c r="C45" s="116">
        <f t="shared" ref="C45:H45" si="1">SUM(C6:C44)</f>
        <v>34.509999999999991</v>
      </c>
      <c r="D45" s="116">
        <f t="shared" si="1"/>
        <v>36.061</v>
      </c>
      <c r="E45" s="116">
        <f t="shared" si="1"/>
        <v>59.423000000000002</v>
      </c>
      <c r="F45" s="116">
        <f t="shared" si="1"/>
        <v>61</v>
      </c>
      <c r="G45" s="116">
        <f t="shared" si="1"/>
        <v>11</v>
      </c>
      <c r="H45" s="116">
        <f t="shared" si="1"/>
        <v>24.3687</v>
      </c>
      <c r="I45" s="386"/>
      <c r="J45" s="165"/>
      <c r="K45" s="165"/>
      <c r="L45" s="165"/>
      <c r="M45" s="165"/>
      <c r="N45" s="165"/>
      <c r="O45" s="166"/>
      <c r="P45" s="166"/>
    </row>
    <row r="46" spans="1:16" s="95" customFormat="1" ht="13" x14ac:dyDescent="0.3">
      <c r="A46" s="392" t="s">
        <v>378</v>
      </c>
      <c r="B46" s="393">
        <f t="shared" ref="B46:H46" si="2">B6+B7+B12+B14+B34+B35</f>
        <v>20.6</v>
      </c>
      <c r="C46" s="393">
        <f t="shared" si="2"/>
        <v>22.2</v>
      </c>
      <c r="D46" s="393">
        <f t="shared" si="2"/>
        <v>0</v>
      </c>
      <c r="E46" s="393">
        <f t="shared" si="2"/>
        <v>0</v>
      </c>
      <c r="F46" s="393">
        <f t="shared" si="2"/>
        <v>0</v>
      </c>
      <c r="G46" s="393">
        <f t="shared" si="2"/>
        <v>0</v>
      </c>
      <c r="H46" s="393">
        <f t="shared" si="2"/>
        <v>0</v>
      </c>
      <c r="I46" s="387"/>
      <c r="J46" s="165"/>
      <c r="K46" s="165"/>
      <c r="L46" s="165"/>
      <c r="M46" s="165"/>
      <c r="N46" s="165"/>
      <c r="O46" s="166"/>
      <c r="P46" s="166"/>
    </row>
    <row r="47" spans="1:16" x14ac:dyDescent="0.35">
      <c r="A47" s="154" t="s">
        <v>376</v>
      </c>
      <c r="B47" s="388">
        <f t="shared" ref="B47:H47" si="3">B8+B9+B15+B17+B21+B22+B23+B24+B27+B28+B30+B36+B37+B38+B40</f>
        <v>6.6899999999999995</v>
      </c>
      <c r="C47" s="388">
        <f t="shared" si="3"/>
        <v>11.010000000000002</v>
      </c>
      <c r="D47" s="388">
        <f t="shared" si="3"/>
        <v>24.5</v>
      </c>
      <c r="E47" s="388">
        <f t="shared" si="3"/>
        <v>56.5</v>
      </c>
      <c r="F47" s="388">
        <f t="shared" si="3"/>
        <v>61</v>
      </c>
      <c r="G47" s="388">
        <f t="shared" si="3"/>
        <v>11</v>
      </c>
      <c r="H47" s="388">
        <f t="shared" si="3"/>
        <v>0</v>
      </c>
    </row>
    <row r="48" spans="1:16" x14ac:dyDescent="0.35">
      <c r="A48" s="389" t="s">
        <v>377</v>
      </c>
      <c r="B48" s="390">
        <f t="shared" ref="B48:H48" si="4">B11+B16+B20+B25+B39+B41+B43+B44</f>
        <v>9</v>
      </c>
      <c r="C48" s="390">
        <f t="shared" si="4"/>
        <v>1.3</v>
      </c>
      <c r="D48" s="390">
        <f t="shared" si="4"/>
        <v>11.561</v>
      </c>
      <c r="E48" s="390">
        <f t="shared" si="4"/>
        <v>2.923</v>
      </c>
      <c r="F48" s="390">
        <f t="shared" si="4"/>
        <v>0</v>
      </c>
      <c r="G48" s="390">
        <f t="shared" si="4"/>
        <v>0</v>
      </c>
      <c r="H48" s="390">
        <f t="shared" si="4"/>
        <v>24.3687</v>
      </c>
    </row>
    <row r="49" spans="1:8" x14ac:dyDescent="0.35">
      <c r="B49" s="388">
        <f>SUM(B46:B48)</f>
        <v>36.29</v>
      </c>
      <c r="C49" s="388">
        <f t="shared" ref="C49:H49" si="5">SUM(C46:C48)</f>
        <v>34.51</v>
      </c>
      <c r="D49" s="388">
        <f t="shared" si="5"/>
        <v>36.061</v>
      </c>
      <c r="E49" s="388">
        <f t="shared" si="5"/>
        <v>59.423000000000002</v>
      </c>
      <c r="F49" s="388">
        <f t="shared" si="5"/>
        <v>61</v>
      </c>
      <c r="G49" s="388">
        <f t="shared" si="5"/>
        <v>11</v>
      </c>
      <c r="H49" s="388">
        <f t="shared" si="5"/>
        <v>24.3687</v>
      </c>
    </row>
    <row r="50" spans="1:8" x14ac:dyDescent="0.35">
      <c r="A50" s="154" t="s">
        <v>379</v>
      </c>
      <c r="B50" s="167">
        <f>(B46+B47)*0.85</f>
        <v>23.1965</v>
      </c>
      <c r="C50" s="167">
        <f t="shared" ref="C50:H50" si="6">(C46+C47)*0.85</f>
        <v>28.2285</v>
      </c>
      <c r="D50" s="167">
        <f t="shared" si="6"/>
        <v>20.824999999999999</v>
      </c>
      <c r="E50" s="167">
        <f t="shared" si="6"/>
        <v>48.024999999999999</v>
      </c>
      <c r="F50" s="167">
        <f t="shared" si="6"/>
        <v>51.85</v>
      </c>
      <c r="G50" s="167">
        <f t="shared" si="6"/>
        <v>9.35</v>
      </c>
      <c r="H50" s="167">
        <f t="shared" si="6"/>
        <v>0</v>
      </c>
    </row>
  </sheetData>
  <autoFilter ref="A4:O45" xr:uid="{00000000-0009-0000-0000-000019000000}"/>
  <mergeCells count="7">
    <mergeCell ref="N2:N3"/>
    <mergeCell ref="L2:L3"/>
    <mergeCell ref="M2:M3"/>
    <mergeCell ref="B2:H2"/>
    <mergeCell ref="I2:I3"/>
    <mergeCell ref="J2:J3"/>
    <mergeCell ref="K2:K3"/>
  </mergeCells>
  <pageMargins left="0.19685039370078741" right="0.11811023622047245" top="0.15748031496062992" bottom="0.15748031496062992" header="0.31496062992125984" footer="0.31496062992125984"/>
  <pageSetup paperSize="9" scale="59" orientation="portrait" r:id="rId1"/>
  <customProperties>
    <customPr name="EpmWorksheetKeyString_GUID" r:id="rId2"/>
  </customPropertie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IU53"/>
  <sheetViews>
    <sheetView zoomScaleNormal="100" workbookViewId="0">
      <pane xSplit="1" ySplit="5" topLeftCell="B6" activePane="bottomRight" state="frozen"/>
      <selection activeCell="N31" activeCellId="1" sqref="M34 N31"/>
      <selection pane="topRight" activeCell="N31" activeCellId="1" sqref="M34 N31"/>
      <selection pane="bottomLeft" activeCell="N31" activeCellId="1" sqref="M34 N31"/>
      <selection pane="bottomRight" activeCell="N31" activeCellId="1" sqref="M34 N31"/>
    </sheetView>
  </sheetViews>
  <sheetFormatPr defaultColWidth="14.7265625" defaultRowHeight="13" x14ac:dyDescent="0.3"/>
  <cols>
    <col min="1" max="1" width="21.7265625" style="256" customWidth="1"/>
    <col min="2" max="2" width="9.26953125" style="258" customWidth="1"/>
    <col min="3" max="4" width="6.26953125" style="258" customWidth="1"/>
    <col min="5" max="14" width="6.26953125" style="259" customWidth="1"/>
    <col min="15" max="15" width="48.7265625" style="260" customWidth="1"/>
    <col min="16" max="17" width="5.453125" style="261" bestFit="1" customWidth="1"/>
    <col min="18" max="18" width="5.7265625" style="261" bestFit="1" customWidth="1"/>
    <col min="19" max="19" width="10.81640625" style="261" customWidth="1"/>
    <col min="20" max="20" width="18.54296875" style="217" customWidth="1"/>
    <col min="21" max="247" width="8.7265625" style="217" customWidth="1"/>
    <col min="248" max="248" width="39.7265625" style="217" customWidth="1"/>
    <col min="249" max="251" width="6.1796875" style="217" customWidth="1"/>
    <col min="252" max="252" width="8.453125" style="217" bestFit="1" customWidth="1"/>
    <col min="253" max="253" width="12.54296875" style="217" bestFit="1" customWidth="1"/>
    <col min="254" max="254" width="27.26953125" style="217" bestFit="1" customWidth="1"/>
    <col min="255" max="255" width="9.1796875" style="217" customWidth="1"/>
    <col min="256" max="256" width="14.7265625" style="217"/>
    <col min="257" max="257" width="32.81640625" style="217" customWidth="1"/>
    <col min="258" max="261" width="5.54296875" style="217" customWidth="1"/>
    <col min="262" max="262" width="7" style="217" customWidth="1"/>
    <col min="263" max="270" width="5.54296875" style="217" customWidth="1"/>
    <col min="271" max="271" width="55" style="217" customWidth="1"/>
    <col min="272" max="272" width="8.7265625" style="217" customWidth="1"/>
    <col min="273" max="273" width="8.1796875" style="217" customWidth="1"/>
    <col min="274" max="274" width="7.1796875" style="217" customWidth="1"/>
    <col min="275" max="275" width="16.54296875" style="217" bestFit="1" customWidth="1"/>
    <col min="276" max="276" width="18.54296875" style="217" customWidth="1"/>
    <col min="277" max="503" width="8.7265625" style="217" customWidth="1"/>
    <col min="504" max="504" width="39.7265625" style="217" customWidth="1"/>
    <col min="505" max="507" width="6.1796875" style="217" customWidth="1"/>
    <col min="508" max="508" width="8.453125" style="217" bestFit="1" customWidth="1"/>
    <col min="509" max="509" width="12.54296875" style="217" bestFit="1" customWidth="1"/>
    <col min="510" max="510" width="27.26953125" style="217" bestFit="1" customWidth="1"/>
    <col min="511" max="511" width="9.1796875" style="217" customWidth="1"/>
    <col min="512" max="512" width="14.7265625" style="217"/>
    <col min="513" max="513" width="32.81640625" style="217" customWidth="1"/>
    <col min="514" max="517" width="5.54296875" style="217" customWidth="1"/>
    <col min="518" max="518" width="7" style="217" customWidth="1"/>
    <col min="519" max="526" width="5.54296875" style="217" customWidth="1"/>
    <col min="527" max="527" width="55" style="217" customWidth="1"/>
    <col min="528" max="528" width="8.7265625" style="217" customWidth="1"/>
    <col min="529" max="529" width="8.1796875" style="217" customWidth="1"/>
    <col min="530" max="530" width="7.1796875" style="217" customWidth="1"/>
    <col min="531" max="531" width="16.54296875" style="217" bestFit="1" customWidth="1"/>
    <col min="532" max="532" width="18.54296875" style="217" customWidth="1"/>
    <col min="533" max="759" width="8.7265625" style="217" customWidth="1"/>
    <col min="760" max="760" width="39.7265625" style="217" customWidth="1"/>
    <col min="761" max="763" width="6.1796875" style="217" customWidth="1"/>
    <col min="764" max="764" width="8.453125" style="217" bestFit="1" customWidth="1"/>
    <col min="765" max="765" width="12.54296875" style="217" bestFit="1" customWidth="1"/>
    <col min="766" max="766" width="27.26953125" style="217" bestFit="1" customWidth="1"/>
    <col min="767" max="767" width="9.1796875" style="217" customWidth="1"/>
    <col min="768" max="768" width="14.7265625" style="217"/>
    <col min="769" max="769" width="32.81640625" style="217" customWidth="1"/>
    <col min="770" max="773" width="5.54296875" style="217" customWidth="1"/>
    <col min="774" max="774" width="7" style="217" customWidth="1"/>
    <col min="775" max="782" width="5.54296875" style="217" customWidth="1"/>
    <col min="783" max="783" width="55" style="217" customWidth="1"/>
    <col min="784" max="784" width="8.7265625" style="217" customWidth="1"/>
    <col min="785" max="785" width="8.1796875" style="217" customWidth="1"/>
    <col min="786" max="786" width="7.1796875" style="217" customWidth="1"/>
    <col min="787" max="787" width="16.54296875" style="217" bestFit="1" customWidth="1"/>
    <col min="788" max="788" width="18.54296875" style="217" customWidth="1"/>
    <col min="789" max="1015" width="8.7265625" style="217" customWidth="1"/>
    <col min="1016" max="1016" width="39.7265625" style="217" customWidth="1"/>
    <col min="1017" max="1019" width="6.1796875" style="217" customWidth="1"/>
    <col min="1020" max="1020" width="8.453125" style="217" bestFit="1" customWidth="1"/>
    <col min="1021" max="1021" width="12.54296875" style="217" bestFit="1" customWidth="1"/>
    <col min="1022" max="1022" width="27.26953125" style="217" bestFit="1" customWidth="1"/>
    <col min="1023" max="1023" width="9.1796875" style="217" customWidth="1"/>
    <col min="1024" max="1024" width="14.7265625" style="217"/>
    <col min="1025" max="1025" width="32.81640625" style="217" customWidth="1"/>
    <col min="1026" max="1029" width="5.54296875" style="217" customWidth="1"/>
    <col min="1030" max="1030" width="7" style="217" customWidth="1"/>
    <col min="1031" max="1038" width="5.54296875" style="217" customWidth="1"/>
    <col min="1039" max="1039" width="55" style="217" customWidth="1"/>
    <col min="1040" max="1040" width="8.7265625" style="217" customWidth="1"/>
    <col min="1041" max="1041" width="8.1796875" style="217" customWidth="1"/>
    <col min="1042" max="1042" width="7.1796875" style="217" customWidth="1"/>
    <col min="1043" max="1043" width="16.54296875" style="217" bestFit="1" customWidth="1"/>
    <col min="1044" max="1044" width="18.54296875" style="217" customWidth="1"/>
    <col min="1045" max="1271" width="8.7265625" style="217" customWidth="1"/>
    <col min="1272" max="1272" width="39.7265625" style="217" customWidth="1"/>
    <col min="1273" max="1275" width="6.1796875" style="217" customWidth="1"/>
    <col min="1276" max="1276" width="8.453125" style="217" bestFit="1" customWidth="1"/>
    <col min="1277" max="1277" width="12.54296875" style="217" bestFit="1" customWidth="1"/>
    <col min="1278" max="1278" width="27.26953125" style="217" bestFit="1" customWidth="1"/>
    <col min="1279" max="1279" width="9.1796875" style="217" customWidth="1"/>
    <col min="1280" max="1280" width="14.7265625" style="217"/>
    <col min="1281" max="1281" width="32.81640625" style="217" customWidth="1"/>
    <col min="1282" max="1285" width="5.54296875" style="217" customWidth="1"/>
    <col min="1286" max="1286" width="7" style="217" customWidth="1"/>
    <col min="1287" max="1294" width="5.54296875" style="217" customWidth="1"/>
    <col min="1295" max="1295" width="55" style="217" customWidth="1"/>
    <col min="1296" max="1296" width="8.7265625" style="217" customWidth="1"/>
    <col min="1297" max="1297" width="8.1796875" style="217" customWidth="1"/>
    <col min="1298" max="1298" width="7.1796875" style="217" customWidth="1"/>
    <col min="1299" max="1299" width="16.54296875" style="217" bestFit="1" customWidth="1"/>
    <col min="1300" max="1300" width="18.54296875" style="217" customWidth="1"/>
    <col min="1301" max="1527" width="8.7265625" style="217" customWidth="1"/>
    <col min="1528" max="1528" width="39.7265625" style="217" customWidth="1"/>
    <col min="1529" max="1531" width="6.1796875" style="217" customWidth="1"/>
    <col min="1532" max="1532" width="8.453125" style="217" bestFit="1" customWidth="1"/>
    <col min="1533" max="1533" width="12.54296875" style="217" bestFit="1" customWidth="1"/>
    <col min="1534" max="1534" width="27.26953125" style="217" bestFit="1" customWidth="1"/>
    <col min="1535" max="1535" width="9.1796875" style="217" customWidth="1"/>
    <col min="1536" max="1536" width="14.7265625" style="217"/>
    <col min="1537" max="1537" width="32.81640625" style="217" customWidth="1"/>
    <col min="1538" max="1541" width="5.54296875" style="217" customWidth="1"/>
    <col min="1542" max="1542" width="7" style="217" customWidth="1"/>
    <col min="1543" max="1550" width="5.54296875" style="217" customWidth="1"/>
    <col min="1551" max="1551" width="55" style="217" customWidth="1"/>
    <col min="1552" max="1552" width="8.7265625" style="217" customWidth="1"/>
    <col min="1553" max="1553" width="8.1796875" style="217" customWidth="1"/>
    <col min="1554" max="1554" width="7.1796875" style="217" customWidth="1"/>
    <col min="1555" max="1555" width="16.54296875" style="217" bestFit="1" customWidth="1"/>
    <col min="1556" max="1556" width="18.54296875" style="217" customWidth="1"/>
    <col min="1557" max="1783" width="8.7265625" style="217" customWidth="1"/>
    <col min="1784" max="1784" width="39.7265625" style="217" customWidth="1"/>
    <col min="1785" max="1787" width="6.1796875" style="217" customWidth="1"/>
    <col min="1788" max="1788" width="8.453125" style="217" bestFit="1" customWidth="1"/>
    <col min="1789" max="1789" width="12.54296875" style="217" bestFit="1" customWidth="1"/>
    <col min="1790" max="1790" width="27.26953125" style="217" bestFit="1" customWidth="1"/>
    <col min="1791" max="1791" width="9.1796875" style="217" customWidth="1"/>
    <col min="1792" max="1792" width="14.7265625" style="217"/>
    <col min="1793" max="1793" width="32.81640625" style="217" customWidth="1"/>
    <col min="1794" max="1797" width="5.54296875" style="217" customWidth="1"/>
    <col min="1798" max="1798" width="7" style="217" customWidth="1"/>
    <col min="1799" max="1806" width="5.54296875" style="217" customWidth="1"/>
    <col min="1807" max="1807" width="55" style="217" customWidth="1"/>
    <col min="1808" max="1808" width="8.7265625" style="217" customWidth="1"/>
    <col min="1809" max="1809" width="8.1796875" style="217" customWidth="1"/>
    <col min="1810" max="1810" width="7.1796875" style="217" customWidth="1"/>
    <col min="1811" max="1811" width="16.54296875" style="217" bestFit="1" customWidth="1"/>
    <col min="1812" max="1812" width="18.54296875" style="217" customWidth="1"/>
    <col min="1813" max="2039" width="8.7265625" style="217" customWidth="1"/>
    <col min="2040" max="2040" width="39.7265625" style="217" customWidth="1"/>
    <col min="2041" max="2043" width="6.1796875" style="217" customWidth="1"/>
    <col min="2044" max="2044" width="8.453125" style="217" bestFit="1" customWidth="1"/>
    <col min="2045" max="2045" width="12.54296875" style="217" bestFit="1" customWidth="1"/>
    <col min="2046" max="2046" width="27.26953125" style="217" bestFit="1" customWidth="1"/>
    <col min="2047" max="2047" width="9.1796875" style="217" customWidth="1"/>
    <col min="2048" max="2048" width="14.7265625" style="217"/>
    <col min="2049" max="2049" width="32.81640625" style="217" customWidth="1"/>
    <col min="2050" max="2053" width="5.54296875" style="217" customWidth="1"/>
    <col min="2054" max="2054" width="7" style="217" customWidth="1"/>
    <col min="2055" max="2062" width="5.54296875" style="217" customWidth="1"/>
    <col min="2063" max="2063" width="55" style="217" customWidth="1"/>
    <col min="2064" max="2064" width="8.7265625" style="217" customWidth="1"/>
    <col min="2065" max="2065" width="8.1796875" style="217" customWidth="1"/>
    <col min="2066" max="2066" width="7.1796875" style="217" customWidth="1"/>
    <col min="2067" max="2067" width="16.54296875" style="217" bestFit="1" customWidth="1"/>
    <col min="2068" max="2068" width="18.54296875" style="217" customWidth="1"/>
    <col min="2069" max="2295" width="8.7265625" style="217" customWidth="1"/>
    <col min="2296" max="2296" width="39.7265625" style="217" customWidth="1"/>
    <col min="2297" max="2299" width="6.1796875" style="217" customWidth="1"/>
    <col min="2300" max="2300" width="8.453125" style="217" bestFit="1" customWidth="1"/>
    <col min="2301" max="2301" width="12.54296875" style="217" bestFit="1" customWidth="1"/>
    <col min="2302" max="2302" width="27.26953125" style="217" bestFit="1" customWidth="1"/>
    <col min="2303" max="2303" width="9.1796875" style="217" customWidth="1"/>
    <col min="2304" max="2304" width="14.7265625" style="217"/>
    <col min="2305" max="2305" width="32.81640625" style="217" customWidth="1"/>
    <col min="2306" max="2309" width="5.54296875" style="217" customWidth="1"/>
    <col min="2310" max="2310" width="7" style="217" customWidth="1"/>
    <col min="2311" max="2318" width="5.54296875" style="217" customWidth="1"/>
    <col min="2319" max="2319" width="55" style="217" customWidth="1"/>
    <col min="2320" max="2320" width="8.7265625" style="217" customWidth="1"/>
    <col min="2321" max="2321" width="8.1796875" style="217" customWidth="1"/>
    <col min="2322" max="2322" width="7.1796875" style="217" customWidth="1"/>
    <col min="2323" max="2323" width="16.54296875" style="217" bestFit="1" customWidth="1"/>
    <col min="2324" max="2324" width="18.54296875" style="217" customWidth="1"/>
    <col min="2325" max="2551" width="8.7265625" style="217" customWidth="1"/>
    <col min="2552" max="2552" width="39.7265625" style="217" customWidth="1"/>
    <col min="2553" max="2555" width="6.1796875" style="217" customWidth="1"/>
    <col min="2556" max="2556" width="8.453125" style="217" bestFit="1" customWidth="1"/>
    <col min="2557" max="2557" width="12.54296875" style="217" bestFit="1" customWidth="1"/>
    <col min="2558" max="2558" width="27.26953125" style="217" bestFit="1" customWidth="1"/>
    <col min="2559" max="2559" width="9.1796875" style="217" customWidth="1"/>
    <col min="2560" max="2560" width="14.7265625" style="217"/>
    <col min="2561" max="2561" width="32.81640625" style="217" customWidth="1"/>
    <col min="2562" max="2565" width="5.54296875" style="217" customWidth="1"/>
    <col min="2566" max="2566" width="7" style="217" customWidth="1"/>
    <col min="2567" max="2574" width="5.54296875" style="217" customWidth="1"/>
    <col min="2575" max="2575" width="55" style="217" customWidth="1"/>
    <col min="2576" max="2576" width="8.7265625" style="217" customWidth="1"/>
    <col min="2577" max="2577" width="8.1796875" style="217" customWidth="1"/>
    <col min="2578" max="2578" width="7.1796875" style="217" customWidth="1"/>
    <col min="2579" max="2579" width="16.54296875" style="217" bestFit="1" customWidth="1"/>
    <col min="2580" max="2580" width="18.54296875" style="217" customWidth="1"/>
    <col min="2581" max="2807" width="8.7265625" style="217" customWidth="1"/>
    <col min="2808" max="2808" width="39.7265625" style="217" customWidth="1"/>
    <col min="2809" max="2811" width="6.1796875" style="217" customWidth="1"/>
    <col min="2812" max="2812" width="8.453125" style="217" bestFit="1" customWidth="1"/>
    <col min="2813" max="2813" width="12.54296875" style="217" bestFit="1" customWidth="1"/>
    <col min="2814" max="2814" width="27.26953125" style="217" bestFit="1" customWidth="1"/>
    <col min="2815" max="2815" width="9.1796875" style="217" customWidth="1"/>
    <col min="2816" max="2816" width="14.7265625" style="217"/>
    <col min="2817" max="2817" width="32.81640625" style="217" customWidth="1"/>
    <col min="2818" max="2821" width="5.54296875" style="217" customWidth="1"/>
    <col min="2822" max="2822" width="7" style="217" customWidth="1"/>
    <col min="2823" max="2830" width="5.54296875" style="217" customWidth="1"/>
    <col min="2831" max="2831" width="55" style="217" customWidth="1"/>
    <col min="2832" max="2832" width="8.7265625" style="217" customWidth="1"/>
    <col min="2833" max="2833" width="8.1796875" style="217" customWidth="1"/>
    <col min="2834" max="2834" width="7.1796875" style="217" customWidth="1"/>
    <col min="2835" max="2835" width="16.54296875" style="217" bestFit="1" customWidth="1"/>
    <col min="2836" max="2836" width="18.54296875" style="217" customWidth="1"/>
    <col min="2837" max="3063" width="8.7265625" style="217" customWidth="1"/>
    <col min="3064" max="3064" width="39.7265625" style="217" customWidth="1"/>
    <col min="3065" max="3067" width="6.1796875" style="217" customWidth="1"/>
    <col min="3068" max="3068" width="8.453125" style="217" bestFit="1" customWidth="1"/>
    <col min="3069" max="3069" width="12.54296875" style="217" bestFit="1" customWidth="1"/>
    <col min="3070" max="3070" width="27.26953125" style="217" bestFit="1" customWidth="1"/>
    <col min="3071" max="3071" width="9.1796875" style="217" customWidth="1"/>
    <col min="3072" max="3072" width="14.7265625" style="217"/>
    <col min="3073" max="3073" width="32.81640625" style="217" customWidth="1"/>
    <col min="3074" max="3077" width="5.54296875" style="217" customWidth="1"/>
    <col min="3078" max="3078" width="7" style="217" customWidth="1"/>
    <col min="3079" max="3086" width="5.54296875" style="217" customWidth="1"/>
    <col min="3087" max="3087" width="55" style="217" customWidth="1"/>
    <col min="3088" max="3088" width="8.7265625" style="217" customWidth="1"/>
    <col min="3089" max="3089" width="8.1796875" style="217" customWidth="1"/>
    <col min="3090" max="3090" width="7.1796875" style="217" customWidth="1"/>
    <col min="3091" max="3091" width="16.54296875" style="217" bestFit="1" customWidth="1"/>
    <col min="3092" max="3092" width="18.54296875" style="217" customWidth="1"/>
    <col min="3093" max="3319" width="8.7265625" style="217" customWidth="1"/>
    <col min="3320" max="3320" width="39.7265625" style="217" customWidth="1"/>
    <col min="3321" max="3323" width="6.1796875" style="217" customWidth="1"/>
    <col min="3324" max="3324" width="8.453125" style="217" bestFit="1" customWidth="1"/>
    <col min="3325" max="3325" width="12.54296875" style="217" bestFit="1" customWidth="1"/>
    <col min="3326" max="3326" width="27.26953125" style="217" bestFit="1" customWidth="1"/>
    <col min="3327" max="3327" width="9.1796875" style="217" customWidth="1"/>
    <col min="3328" max="3328" width="14.7265625" style="217"/>
    <col min="3329" max="3329" width="32.81640625" style="217" customWidth="1"/>
    <col min="3330" max="3333" width="5.54296875" style="217" customWidth="1"/>
    <col min="3334" max="3334" width="7" style="217" customWidth="1"/>
    <col min="3335" max="3342" width="5.54296875" style="217" customWidth="1"/>
    <col min="3343" max="3343" width="55" style="217" customWidth="1"/>
    <col min="3344" max="3344" width="8.7265625" style="217" customWidth="1"/>
    <col min="3345" max="3345" width="8.1796875" style="217" customWidth="1"/>
    <col min="3346" max="3346" width="7.1796875" style="217" customWidth="1"/>
    <col min="3347" max="3347" width="16.54296875" style="217" bestFit="1" customWidth="1"/>
    <col min="3348" max="3348" width="18.54296875" style="217" customWidth="1"/>
    <col min="3349" max="3575" width="8.7265625" style="217" customWidth="1"/>
    <col min="3576" max="3576" width="39.7265625" style="217" customWidth="1"/>
    <col min="3577" max="3579" width="6.1796875" style="217" customWidth="1"/>
    <col min="3580" max="3580" width="8.453125" style="217" bestFit="1" customWidth="1"/>
    <col min="3581" max="3581" width="12.54296875" style="217" bestFit="1" customWidth="1"/>
    <col min="3582" max="3582" width="27.26953125" style="217" bestFit="1" customWidth="1"/>
    <col min="3583" max="3583" width="9.1796875" style="217" customWidth="1"/>
    <col min="3584" max="3584" width="14.7265625" style="217"/>
    <col min="3585" max="3585" width="32.81640625" style="217" customWidth="1"/>
    <col min="3586" max="3589" width="5.54296875" style="217" customWidth="1"/>
    <col min="3590" max="3590" width="7" style="217" customWidth="1"/>
    <col min="3591" max="3598" width="5.54296875" style="217" customWidth="1"/>
    <col min="3599" max="3599" width="55" style="217" customWidth="1"/>
    <col min="3600" max="3600" width="8.7265625" style="217" customWidth="1"/>
    <col min="3601" max="3601" width="8.1796875" style="217" customWidth="1"/>
    <col min="3602" max="3602" width="7.1796875" style="217" customWidth="1"/>
    <col min="3603" max="3603" width="16.54296875" style="217" bestFit="1" customWidth="1"/>
    <col min="3604" max="3604" width="18.54296875" style="217" customWidth="1"/>
    <col min="3605" max="3831" width="8.7265625" style="217" customWidth="1"/>
    <col min="3832" max="3832" width="39.7265625" style="217" customWidth="1"/>
    <col min="3833" max="3835" width="6.1796875" style="217" customWidth="1"/>
    <col min="3836" max="3836" width="8.453125" style="217" bestFit="1" customWidth="1"/>
    <col min="3837" max="3837" width="12.54296875" style="217" bestFit="1" customWidth="1"/>
    <col min="3838" max="3838" width="27.26953125" style="217" bestFit="1" customWidth="1"/>
    <col min="3839" max="3839" width="9.1796875" style="217" customWidth="1"/>
    <col min="3840" max="3840" width="14.7265625" style="217"/>
    <col min="3841" max="3841" width="32.81640625" style="217" customWidth="1"/>
    <col min="3842" max="3845" width="5.54296875" style="217" customWidth="1"/>
    <col min="3846" max="3846" width="7" style="217" customWidth="1"/>
    <col min="3847" max="3854" width="5.54296875" style="217" customWidth="1"/>
    <col min="3855" max="3855" width="55" style="217" customWidth="1"/>
    <col min="3856" max="3856" width="8.7265625" style="217" customWidth="1"/>
    <col min="3857" max="3857" width="8.1796875" style="217" customWidth="1"/>
    <col min="3858" max="3858" width="7.1796875" style="217" customWidth="1"/>
    <col min="3859" max="3859" width="16.54296875" style="217" bestFit="1" customWidth="1"/>
    <col min="3860" max="3860" width="18.54296875" style="217" customWidth="1"/>
    <col min="3861" max="4087" width="8.7265625" style="217" customWidth="1"/>
    <col min="4088" max="4088" width="39.7265625" style="217" customWidth="1"/>
    <col min="4089" max="4091" width="6.1796875" style="217" customWidth="1"/>
    <col min="4092" max="4092" width="8.453125" style="217" bestFit="1" customWidth="1"/>
    <col min="4093" max="4093" width="12.54296875" style="217" bestFit="1" customWidth="1"/>
    <col min="4094" max="4094" width="27.26953125" style="217" bestFit="1" customWidth="1"/>
    <col min="4095" max="4095" width="9.1796875" style="217" customWidth="1"/>
    <col min="4096" max="4096" width="14.7265625" style="217"/>
    <col min="4097" max="4097" width="32.81640625" style="217" customWidth="1"/>
    <col min="4098" max="4101" width="5.54296875" style="217" customWidth="1"/>
    <col min="4102" max="4102" width="7" style="217" customWidth="1"/>
    <col min="4103" max="4110" width="5.54296875" style="217" customWidth="1"/>
    <col min="4111" max="4111" width="55" style="217" customWidth="1"/>
    <col min="4112" max="4112" width="8.7265625" style="217" customWidth="1"/>
    <col min="4113" max="4113" width="8.1796875" style="217" customWidth="1"/>
    <col min="4114" max="4114" width="7.1796875" style="217" customWidth="1"/>
    <col min="4115" max="4115" width="16.54296875" style="217" bestFit="1" customWidth="1"/>
    <col min="4116" max="4116" width="18.54296875" style="217" customWidth="1"/>
    <col min="4117" max="4343" width="8.7265625" style="217" customWidth="1"/>
    <col min="4344" max="4344" width="39.7265625" style="217" customWidth="1"/>
    <col min="4345" max="4347" width="6.1796875" style="217" customWidth="1"/>
    <col min="4348" max="4348" width="8.453125" style="217" bestFit="1" customWidth="1"/>
    <col min="4349" max="4349" width="12.54296875" style="217" bestFit="1" customWidth="1"/>
    <col min="4350" max="4350" width="27.26953125" style="217" bestFit="1" customWidth="1"/>
    <col min="4351" max="4351" width="9.1796875" style="217" customWidth="1"/>
    <col min="4352" max="4352" width="14.7265625" style="217"/>
    <col min="4353" max="4353" width="32.81640625" style="217" customWidth="1"/>
    <col min="4354" max="4357" width="5.54296875" style="217" customWidth="1"/>
    <col min="4358" max="4358" width="7" style="217" customWidth="1"/>
    <col min="4359" max="4366" width="5.54296875" style="217" customWidth="1"/>
    <col min="4367" max="4367" width="55" style="217" customWidth="1"/>
    <col min="4368" max="4368" width="8.7265625" style="217" customWidth="1"/>
    <col min="4369" max="4369" width="8.1796875" style="217" customWidth="1"/>
    <col min="4370" max="4370" width="7.1796875" style="217" customWidth="1"/>
    <col min="4371" max="4371" width="16.54296875" style="217" bestFit="1" customWidth="1"/>
    <col min="4372" max="4372" width="18.54296875" style="217" customWidth="1"/>
    <col min="4373" max="4599" width="8.7265625" style="217" customWidth="1"/>
    <col min="4600" max="4600" width="39.7265625" style="217" customWidth="1"/>
    <col min="4601" max="4603" width="6.1796875" style="217" customWidth="1"/>
    <col min="4604" max="4604" width="8.453125" style="217" bestFit="1" customWidth="1"/>
    <col min="4605" max="4605" width="12.54296875" style="217" bestFit="1" customWidth="1"/>
    <col min="4606" max="4606" width="27.26953125" style="217" bestFit="1" customWidth="1"/>
    <col min="4607" max="4607" width="9.1796875" style="217" customWidth="1"/>
    <col min="4608" max="4608" width="14.7265625" style="217"/>
    <col min="4609" max="4609" width="32.81640625" style="217" customWidth="1"/>
    <col min="4610" max="4613" width="5.54296875" style="217" customWidth="1"/>
    <col min="4614" max="4614" width="7" style="217" customWidth="1"/>
    <col min="4615" max="4622" width="5.54296875" style="217" customWidth="1"/>
    <col min="4623" max="4623" width="55" style="217" customWidth="1"/>
    <col min="4624" max="4624" width="8.7265625" style="217" customWidth="1"/>
    <col min="4625" max="4625" width="8.1796875" style="217" customWidth="1"/>
    <col min="4626" max="4626" width="7.1796875" style="217" customWidth="1"/>
    <col min="4627" max="4627" width="16.54296875" style="217" bestFit="1" customWidth="1"/>
    <col min="4628" max="4628" width="18.54296875" style="217" customWidth="1"/>
    <col min="4629" max="4855" width="8.7265625" style="217" customWidth="1"/>
    <col min="4856" max="4856" width="39.7265625" style="217" customWidth="1"/>
    <col min="4857" max="4859" width="6.1796875" style="217" customWidth="1"/>
    <col min="4860" max="4860" width="8.453125" style="217" bestFit="1" customWidth="1"/>
    <col min="4861" max="4861" width="12.54296875" style="217" bestFit="1" customWidth="1"/>
    <col min="4862" max="4862" width="27.26953125" style="217" bestFit="1" customWidth="1"/>
    <col min="4863" max="4863" width="9.1796875" style="217" customWidth="1"/>
    <col min="4864" max="4864" width="14.7265625" style="217"/>
    <col min="4865" max="4865" width="32.81640625" style="217" customWidth="1"/>
    <col min="4866" max="4869" width="5.54296875" style="217" customWidth="1"/>
    <col min="4870" max="4870" width="7" style="217" customWidth="1"/>
    <col min="4871" max="4878" width="5.54296875" style="217" customWidth="1"/>
    <col min="4879" max="4879" width="55" style="217" customWidth="1"/>
    <col min="4880" max="4880" width="8.7265625" style="217" customWidth="1"/>
    <col min="4881" max="4881" width="8.1796875" style="217" customWidth="1"/>
    <col min="4882" max="4882" width="7.1796875" style="217" customWidth="1"/>
    <col min="4883" max="4883" width="16.54296875" style="217" bestFit="1" customWidth="1"/>
    <col min="4884" max="4884" width="18.54296875" style="217" customWidth="1"/>
    <col min="4885" max="5111" width="8.7265625" style="217" customWidth="1"/>
    <col min="5112" max="5112" width="39.7265625" style="217" customWidth="1"/>
    <col min="5113" max="5115" width="6.1796875" style="217" customWidth="1"/>
    <col min="5116" max="5116" width="8.453125" style="217" bestFit="1" customWidth="1"/>
    <col min="5117" max="5117" width="12.54296875" style="217" bestFit="1" customWidth="1"/>
    <col min="5118" max="5118" width="27.26953125" style="217" bestFit="1" customWidth="1"/>
    <col min="5119" max="5119" width="9.1796875" style="217" customWidth="1"/>
    <col min="5120" max="5120" width="14.7265625" style="217"/>
    <col min="5121" max="5121" width="32.81640625" style="217" customWidth="1"/>
    <col min="5122" max="5125" width="5.54296875" style="217" customWidth="1"/>
    <col min="5126" max="5126" width="7" style="217" customWidth="1"/>
    <col min="5127" max="5134" width="5.54296875" style="217" customWidth="1"/>
    <col min="5135" max="5135" width="55" style="217" customWidth="1"/>
    <col min="5136" max="5136" width="8.7265625" style="217" customWidth="1"/>
    <col min="5137" max="5137" width="8.1796875" style="217" customWidth="1"/>
    <col min="5138" max="5138" width="7.1796875" style="217" customWidth="1"/>
    <col min="5139" max="5139" width="16.54296875" style="217" bestFit="1" customWidth="1"/>
    <col min="5140" max="5140" width="18.54296875" style="217" customWidth="1"/>
    <col min="5141" max="5367" width="8.7265625" style="217" customWidth="1"/>
    <col min="5368" max="5368" width="39.7265625" style="217" customWidth="1"/>
    <col min="5369" max="5371" width="6.1796875" style="217" customWidth="1"/>
    <col min="5372" max="5372" width="8.453125" style="217" bestFit="1" customWidth="1"/>
    <col min="5373" max="5373" width="12.54296875" style="217" bestFit="1" customWidth="1"/>
    <col min="5374" max="5374" width="27.26953125" style="217" bestFit="1" customWidth="1"/>
    <col min="5375" max="5375" width="9.1796875" style="217" customWidth="1"/>
    <col min="5376" max="5376" width="14.7265625" style="217"/>
    <col min="5377" max="5377" width="32.81640625" style="217" customWidth="1"/>
    <col min="5378" max="5381" width="5.54296875" style="217" customWidth="1"/>
    <col min="5382" max="5382" width="7" style="217" customWidth="1"/>
    <col min="5383" max="5390" width="5.54296875" style="217" customWidth="1"/>
    <col min="5391" max="5391" width="55" style="217" customWidth="1"/>
    <col min="5392" max="5392" width="8.7265625" style="217" customWidth="1"/>
    <col min="5393" max="5393" width="8.1796875" style="217" customWidth="1"/>
    <col min="5394" max="5394" width="7.1796875" style="217" customWidth="1"/>
    <col min="5395" max="5395" width="16.54296875" style="217" bestFit="1" customWidth="1"/>
    <col min="5396" max="5396" width="18.54296875" style="217" customWidth="1"/>
    <col min="5397" max="5623" width="8.7265625" style="217" customWidth="1"/>
    <col min="5624" max="5624" width="39.7265625" style="217" customWidth="1"/>
    <col min="5625" max="5627" width="6.1796875" style="217" customWidth="1"/>
    <col min="5628" max="5628" width="8.453125" style="217" bestFit="1" customWidth="1"/>
    <col min="5629" max="5629" width="12.54296875" style="217" bestFit="1" customWidth="1"/>
    <col min="5630" max="5630" width="27.26953125" style="217" bestFit="1" customWidth="1"/>
    <col min="5631" max="5631" width="9.1796875" style="217" customWidth="1"/>
    <col min="5632" max="5632" width="14.7265625" style="217"/>
    <col min="5633" max="5633" width="32.81640625" style="217" customWidth="1"/>
    <col min="5634" max="5637" width="5.54296875" style="217" customWidth="1"/>
    <col min="5638" max="5638" width="7" style="217" customWidth="1"/>
    <col min="5639" max="5646" width="5.54296875" style="217" customWidth="1"/>
    <col min="5647" max="5647" width="55" style="217" customWidth="1"/>
    <col min="5648" max="5648" width="8.7265625" style="217" customWidth="1"/>
    <col min="5649" max="5649" width="8.1796875" style="217" customWidth="1"/>
    <col min="5650" max="5650" width="7.1796875" style="217" customWidth="1"/>
    <col min="5651" max="5651" width="16.54296875" style="217" bestFit="1" customWidth="1"/>
    <col min="5652" max="5652" width="18.54296875" style="217" customWidth="1"/>
    <col min="5653" max="5879" width="8.7265625" style="217" customWidth="1"/>
    <col min="5880" max="5880" width="39.7265625" style="217" customWidth="1"/>
    <col min="5881" max="5883" width="6.1796875" style="217" customWidth="1"/>
    <col min="5884" max="5884" width="8.453125" style="217" bestFit="1" customWidth="1"/>
    <col min="5885" max="5885" width="12.54296875" style="217" bestFit="1" customWidth="1"/>
    <col min="5886" max="5886" width="27.26953125" style="217" bestFit="1" customWidth="1"/>
    <col min="5887" max="5887" width="9.1796875" style="217" customWidth="1"/>
    <col min="5888" max="5888" width="14.7265625" style="217"/>
    <col min="5889" max="5889" width="32.81640625" style="217" customWidth="1"/>
    <col min="5890" max="5893" width="5.54296875" style="217" customWidth="1"/>
    <col min="5894" max="5894" width="7" style="217" customWidth="1"/>
    <col min="5895" max="5902" width="5.54296875" style="217" customWidth="1"/>
    <col min="5903" max="5903" width="55" style="217" customWidth="1"/>
    <col min="5904" max="5904" width="8.7265625" style="217" customWidth="1"/>
    <col min="5905" max="5905" width="8.1796875" style="217" customWidth="1"/>
    <col min="5906" max="5906" width="7.1796875" style="217" customWidth="1"/>
    <col min="5907" max="5907" width="16.54296875" style="217" bestFit="1" customWidth="1"/>
    <col min="5908" max="5908" width="18.54296875" style="217" customWidth="1"/>
    <col min="5909" max="6135" width="8.7265625" style="217" customWidth="1"/>
    <col min="6136" max="6136" width="39.7265625" style="217" customWidth="1"/>
    <col min="6137" max="6139" width="6.1796875" style="217" customWidth="1"/>
    <col min="6140" max="6140" width="8.453125" style="217" bestFit="1" customWidth="1"/>
    <col min="6141" max="6141" width="12.54296875" style="217" bestFit="1" customWidth="1"/>
    <col min="6142" max="6142" width="27.26953125" style="217" bestFit="1" customWidth="1"/>
    <col min="6143" max="6143" width="9.1796875" style="217" customWidth="1"/>
    <col min="6144" max="6144" width="14.7265625" style="217"/>
    <col min="6145" max="6145" width="32.81640625" style="217" customWidth="1"/>
    <col min="6146" max="6149" width="5.54296875" style="217" customWidth="1"/>
    <col min="6150" max="6150" width="7" style="217" customWidth="1"/>
    <col min="6151" max="6158" width="5.54296875" style="217" customWidth="1"/>
    <col min="6159" max="6159" width="55" style="217" customWidth="1"/>
    <col min="6160" max="6160" width="8.7265625" style="217" customWidth="1"/>
    <col min="6161" max="6161" width="8.1796875" style="217" customWidth="1"/>
    <col min="6162" max="6162" width="7.1796875" style="217" customWidth="1"/>
    <col min="6163" max="6163" width="16.54296875" style="217" bestFit="1" customWidth="1"/>
    <col min="6164" max="6164" width="18.54296875" style="217" customWidth="1"/>
    <col min="6165" max="6391" width="8.7265625" style="217" customWidth="1"/>
    <col min="6392" max="6392" width="39.7265625" style="217" customWidth="1"/>
    <col min="6393" max="6395" width="6.1796875" style="217" customWidth="1"/>
    <col min="6396" max="6396" width="8.453125" style="217" bestFit="1" customWidth="1"/>
    <col min="6397" max="6397" width="12.54296875" style="217" bestFit="1" customWidth="1"/>
    <col min="6398" max="6398" width="27.26953125" style="217" bestFit="1" customWidth="1"/>
    <col min="6399" max="6399" width="9.1796875" style="217" customWidth="1"/>
    <col min="6400" max="6400" width="14.7265625" style="217"/>
    <col min="6401" max="6401" width="32.81640625" style="217" customWidth="1"/>
    <col min="6402" max="6405" width="5.54296875" style="217" customWidth="1"/>
    <col min="6406" max="6406" width="7" style="217" customWidth="1"/>
    <col min="6407" max="6414" width="5.54296875" style="217" customWidth="1"/>
    <col min="6415" max="6415" width="55" style="217" customWidth="1"/>
    <col min="6416" max="6416" width="8.7265625" style="217" customWidth="1"/>
    <col min="6417" max="6417" width="8.1796875" style="217" customWidth="1"/>
    <col min="6418" max="6418" width="7.1796875" style="217" customWidth="1"/>
    <col min="6419" max="6419" width="16.54296875" style="217" bestFit="1" customWidth="1"/>
    <col min="6420" max="6420" width="18.54296875" style="217" customWidth="1"/>
    <col min="6421" max="6647" width="8.7265625" style="217" customWidth="1"/>
    <col min="6648" max="6648" width="39.7265625" style="217" customWidth="1"/>
    <col min="6649" max="6651" width="6.1796875" style="217" customWidth="1"/>
    <col min="6652" max="6652" width="8.453125" style="217" bestFit="1" customWidth="1"/>
    <col min="6653" max="6653" width="12.54296875" style="217" bestFit="1" customWidth="1"/>
    <col min="6654" max="6654" width="27.26953125" style="217" bestFit="1" customWidth="1"/>
    <col min="6655" max="6655" width="9.1796875" style="217" customWidth="1"/>
    <col min="6656" max="6656" width="14.7265625" style="217"/>
    <col min="6657" max="6657" width="32.81640625" style="217" customWidth="1"/>
    <col min="6658" max="6661" width="5.54296875" style="217" customWidth="1"/>
    <col min="6662" max="6662" width="7" style="217" customWidth="1"/>
    <col min="6663" max="6670" width="5.54296875" style="217" customWidth="1"/>
    <col min="6671" max="6671" width="55" style="217" customWidth="1"/>
    <col min="6672" max="6672" width="8.7265625" style="217" customWidth="1"/>
    <col min="6673" max="6673" width="8.1796875" style="217" customWidth="1"/>
    <col min="6674" max="6674" width="7.1796875" style="217" customWidth="1"/>
    <col min="6675" max="6675" width="16.54296875" style="217" bestFit="1" customWidth="1"/>
    <col min="6676" max="6676" width="18.54296875" style="217" customWidth="1"/>
    <col min="6677" max="6903" width="8.7265625" style="217" customWidth="1"/>
    <col min="6904" max="6904" width="39.7265625" style="217" customWidth="1"/>
    <col min="6905" max="6907" width="6.1796875" style="217" customWidth="1"/>
    <col min="6908" max="6908" width="8.453125" style="217" bestFit="1" customWidth="1"/>
    <col min="6909" max="6909" width="12.54296875" style="217" bestFit="1" customWidth="1"/>
    <col min="6910" max="6910" width="27.26953125" style="217" bestFit="1" customWidth="1"/>
    <col min="6911" max="6911" width="9.1796875" style="217" customWidth="1"/>
    <col min="6912" max="6912" width="14.7265625" style="217"/>
    <col min="6913" max="6913" width="32.81640625" style="217" customWidth="1"/>
    <col min="6914" max="6917" width="5.54296875" style="217" customWidth="1"/>
    <col min="6918" max="6918" width="7" style="217" customWidth="1"/>
    <col min="6919" max="6926" width="5.54296875" style="217" customWidth="1"/>
    <col min="6927" max="6927" width="55" style="217" customWidth="1"/>
    <col min="6928" max="6928" width="8.7265625" style="217" customWidth="1"/>
    <col min="6929" max="6929" width="8.1796875" style="217" customWidth="1"/>
    <col min="6930" max="6930" width="7.1796875" style="217" customWidth="1"/>
    <col min="6931" max="6931" width="16.54296875" style="217" bestFit="1" customWidth="1"/>
    <col min="6932" max="6932" width="18.54296875" style="217" customWidth="1"/>
    <col min="6933" max="7159" width="8.7265625" style="217" customWidth="1"/>
    <col min="7160" max="7160" width="39.7265625" style="217" customWidth="1"/>
    <col min="7161" max="7163" width="6.1796875" style="217" customWidth="1"/>
    <col min="7164" max="7164" width="8.453125" style="217" bestFit="1" customWidth="1"/>
    <col min="7165" max="7165" width="12.54296875" style="217" bestFit="1" customWidth="1"/>
    <col min="7166" max="7166" width="27.26953125" style="217" bestFit="1" customWidth="1"/>
    <col min="7167" max="7167" width="9.1796875" style="217" customWidth="1"/>
    <col min="7168" max="7168" width="14.7265625" style="217"/>
    <col min="7169" max="7169" width="32.81640625" style="217" customWidth="1"/>
    <col min="7170" max="7173" width="5.54296875" style="217" customWidth="1"/>
    <col min="7174" max="7174" width="7" style="217" customWidth="1"/>
    <col min="7175" max="7182" width="5.54296875" style="217" customWidth="1"/>
    <col min="7183" max="7183" width="55" style="217" customWidth="1"/>
    <col min="7184" max="7184" width="8.7265625" style="217" customWidth="1"/>
    <col min="7185" max="7185" width="8.1796875" style="217" customWidth="1"/>
    <col min="7186" max="7186" width="7.1796875" style="217" customWidth="1"/>
    <col min="7187" max="7187" width="16.54296875" style="217" bestFit="1" customWidth="1"/>
    <col min="7188" max="7188" width="18.54296875" style="217" customWidth="1"/>
    <col min="7189" max="7415" width="8.7265625" style="217" customWidth="1"/>
    <col min="7416" max="7416" width="39.7265625" style="217" customWidth="1"/>
    <col min="7417" max="7419" width="6.1796875" style="217" customWidth="1"/>
    <col min="7420" max="7420" width="8.453125" style="217" bestFit="1" customWidth="1"/>
    <col min="7421" max="7421" width="12.54296875" style="217" bestFit="1" customWidth="1"/>
    <col min="7422" max="7422" width="27.26953125" style="217" bestFit="1" customWidth="1"/>
    <col min="7423" max="7423" width="9.1796875" style="217" customWidth="1"/>
    <col min="7424" max="7424" width="14.7265625" style="217"/>
    <col min="7425" max="7425" width="32.81640625" style="217" customWidth="1"/>
    <col min="7426" max="7429" width="5.54296875" style="217" customWidth="1"/>
    <col min="7430" max="7430" width="7" style="217" customWidth="1"/>
    <col min="7431" max="7438" width="5.54296875" style="217" customWidth="1"/>
    <col min="7439" max="7439" width="55" style="217" customWidth="1"/>
    <col min="7440" max="7440" width="8.7265625" style="217" customWidth="1"/>
    <col min="7441" max="7441" width="8.1796875" style="217" customWidth="1"/>
    <col min="7442" max="7442" width="7.1796875" style="217" customWidth="1"/>
    <col min="7443" max="7443" width="16.54296875" style="217" bestFit="1" customWidth="1"/>
    <col min="7444" max="7444" width="18.54296875" style="217" customWidth="1"/>
    <col min="7445" max="7671" width="8.7265625" style="217" customWidth="1"/>
    <col min="7672" max="7672" width="39.7265625" style="217" customWidth="1"/>
    <col min="7673" max="7675" width="6.1796875" style="217" customWidth="1"/>
    <col min="7676" max="7676" width="8.453125" style="217" bestFit="1" customWidth="1"/>
    <col min="7677" max="7677" width="12.54296875" style="217" bestFit="1" customWidth="1"/>
    <col min="7678" max="7678" width="27.26953125" style="217" bestFit="1" customWidth="1"/>
    <col min="7679" max="7679" width="9.1796875" style="217" customWidth="1"/>
    <col min="7680" max="7680" width="14.7265625" style="217"/>
    <col min="7681" max="7681" width="32.81640625" style="217" customWidth="1"/>
    <col min="7682" max="7685" width="5.54296875" style="217" customWidth="1"/>
    <col min="7686" max="7686" width="7" style="217" customWidth="1"/>
    <col min="7687" max="7694" width="5.54296875" style="217" customWidth="1"/>
    <col min="7695" max="7695" width="55" style="217" customWidth="1"/>
    <col min="7696" max="7696" width="8.7265625" style="217" customWidth="1"/>
    <col min="7697" max="7697" width="8.1796875" style="217" customWidth="1"/>
    <col min="7698" max="7698" width="7.1796875" style="217" customWidth="1"/>
    <col min="7699" max="7699" width="16.54296875" style="217" bestFit="1" customWidth="1"/>
    <col min="7700" max="7700" width="18.54296875" style="217" customWidth="1"/>
    <col min="7701" max="7927" width="8.7265625" style="217" customWidth="1"/>
    <col min="7928" max="7928" width="39.7265625" style="217" customWidth="1"/>
    <col min="7929" max="7931" width="6.1796875" style="217" customWidth="1"/>
    <col min="7932" max="7932" width="8.453125" style="217" bestFit="1" customWidth="1"/>
    <col min="7933" max="7933" width="12.54296875" style="217" bestFit="1" customWidth="1"/>
    <col min="7934" max="7934" width="27.26953125" style="217" bestFit="1" customWidth="1"/>
    <col min="7935" max="7935" width="9.1796875" style="217" customWidth="1"/>
    <col min="7936" max="7936" width="14.7265625" style="217"/>
    <col min="7937" max="7937" width="32.81640625" style="217" customWidth="1"/>
    <col min="7938" max="7941" width="5.54296875" style="217" customWidth="1"/>
    <col min="7942" max="7942" width="7" style="217" customWidth="1"/>
    <col min="7943" max="7950" width="5.54296875" style="217" customWidth="1"/>
    <col min="7951" max="7951" width="55" style="217" customWidth="1"/>
    <col min="7952" max="7952" width="8.7265625" style="217" customWidth="1"/>
    <col min="7953" max="7953" width="8.1796875" style="217" customWidth="1"/>
    <col min="7954" max="7954" width="7.1796875" style="217" customWidth="1"/>
    <col min="7955" max="7955" width="16.54296875" style="217" bestFit="1" customWidth="1"/>
    <col min="7956" max="7956" width="18.54296875" style="217" customWidth="1"/>
    <col min="7957" max="8183" width="8.7265625" style="217" customWidth="1"/>
    <col min="8184" max="8184" width="39.7265625" style="217" customWidth="1"/>
    <col min="8185" max="8187" width="6.1796875" style="217" customWidth="1"/>
    <col min="8188" max="8188" width="8.453125" style="217" bestFit="1" customWidth="1"/>
    <col min="8189" max="8189" width="12.54296875" style="217" bestFit="1" customWidth="1"/>
    <col min="8190" max="8190" width="27.26953125" style="217" bestFit="1" customWidth="1"/>
    <col min="8191" max="8191" width="9.1796875" style="217" customWidth="1"/>
    <col min="8192" max="8192" width="14.7265625" style="217"/>
    <col min="8193" max="8193" width="32.81640625" style="217" customWidth="1"/>
    <col min="8194" max="8197" width="5.54296875" style="217" customWidth="1"/>
    <col min="8198" max="8198" width="7" style="217" customWidth="1"/>
    <col min="8199" max="8206" width="5.54296875" style="217" customWidth="1"/>
    <col min="8207" max="8207" width="55" style="217" customWidth="1"/>
    <col min="8208" max="8208" width="8.7265625" style="217" customWidth="1"/>
    <col min="8209" max="8209" width="8.1796875" style="217" customWidth="1"/>
    <col min="8210" max="8210" width="7.1796875" style="217" customWidth="1"/>
    <col min="8211" max="8211" width="16.54296875" style="217" bestFit="1" customWidth="1"/>
    <col min="8212" max="8212" width="18.54296875" style="217" customWidth="1"/>
    <col min="8213" max="8439" width="8.7265625" style="217" customWidth="1"/>
    <col min="8440" max="8440" width="39.7265625" style="217" customWidth="1"/>
    <col min="8441" max="8443" width="6.1796875" style="217" customWidth="1"/>
    <col min="8444" max="8444" width="8.453125" style="217" bestFit="1" customWidth="1"/>
    <col min="8445" max="8445" width="12.54296875" style="217" bestFit="1" customWidth="1"/>
    <col min="8446" max="8446" width="27.26953125" style="217" bestFit="1" customWidth="1"/>
    <col min="8447" max="8447" width="9.1796875" style="217" customWidth="1"/>
    <col min="8448" max="8448" width="14.7265625" style="217"/>
    <col min="8449" max="8449" width="32.81640625" style="217" customWidth="1"/>
    <col min="8450" max="8453" width="5.54296875" style="217" customWidth="1"/>
    <col min="8454" max="8454" width="7" style="217" customWidth="1"/>
    <col min="8455" max="8462" width="5.54296875" style="217" customWidth="1"/>
    <col min="8463" max="8463" width="55" style="217" customWidth="1"/>
    <col min="8464" max="8464" width="8.7265625" style="217" customWidth="1"/>
    <col min="8465" max="8465" width="8.1796875" style="217" customWidth="1"/>
    <col min="8466" max="8466" width="7.1796875" style="217" customWidth="1"/>
    <col min="8467" max="8467" width="16.54296875" style="217" bestFit="1" customWidth="1"/>
    <col min="8468" max="8468" width="18.54296875" style="217" customWidth="1"/>
    <col min="8469" max="8695" width="8.7265625" style="217" customWidth="1"/>
    <col min="8696" max="8696" width="39.7265625" style="217" customWidth="1"/>
    <col min="8697" max="8699" width="6.1796875" style="217" customWidth="1"/>
    <col min="8700" max="8700" width="8.453125" style="217" bestFit="1" customWidth="1"/>
    <col min="8701" max="8701" width="12.54296875" style="217" bestFit="1" customWidth="1"/>
    <col min="8702" max="8702" width="27.26953125" style="217" bestFit="1" customWidth="1"/>
    <col min="8703" max="8703" width="9.1796875" style="217" customWidth="1"/>
    <col min="8704" max="8704" width="14.7265625" style="217"/>
    <col min="8705" max="8705" width="32.81640625" style="217" customWidth="1"/>
    <col min="8706" max="8709" width="5.54296875" style="217" customWidth="1"/>
    <col min="8710" max="8710" width="7" style="217" customWidth="1"/>
    <col min="8711" max="8718" width="5.54296875" style="217" customWidth="1"/>
    <col min="8719" max="8719" width="55" style="217" customWidth="1"/>
    <col min="8720" max="8720" width="8.7265625" style="217" customWidth="1"/>
    <col min="8721" max="8721" width="8.1796875" style="217" customWidth="1"/>
    <col min="8722" max="8722" width="7.1796875" style="217" customWidth="1"/>
    <col min="8723" max="8723" width="16.54296875" style="217" bestFit="1" customWidth="1"/>
    <col min="8724" max="8724" width="18.54296875" style="217" customWidth="1"/>
    <col min="8725" max="8951" width="8.7265625" style="217" customWidth="1"/>
    <col min="8952" max="8952" width="39.7265625" style="217" customWidth="1"/>
    <col min="8953" max="8955" width="6.1796875" style="217" customWidth="1"/>
    <col min="8956" max="8956" width="8.453125" style="217" bestFit="1" customWidth="1"/>
    <col min="8957" max="8957" width="12.54296875" style="217" bestFit="1" customWidth="1"/>
    <col min="8958" max="8958" width="27.26953125" style="217" bestFit="1" customWidth="1"/>
    <col min="8959" max="8959" width="9.1796875" style="217" customWidth="1"/>
    <col min="8960" max="8960" width="14.7265625" style="217"/>
    <col min="8961" max="8961" width="32.81640625" style="217" customWidth="1"/>
    <col min="8962" max="8965" width="5.54296875" style="217" customWidth="1"/>
    <col min="8966" max="8966" width="7" style="217" customWidth="1"/>
    <col min="8967" max="8974" width="5.54296875" style="217" customWidth="1"/>
    <col min="8975" max="8975" width="55" style="217" customWidth="1"/>
    <col min="8976" max="8976" width="8.7265625" style="217" customWidth="1"/>
    <col min="8977" max="8977" width="8.1796875" style="217" customWidth="1"/>
    <col min="8978" max="8978" width="7.1796875" style="217" customWidth="1"/>
    <col min="8979" max="8979" width="16.54296875" style="217" bestFit="1" customWidth="1"/>
    <col min="8980" max="8980" width="18.54296875" style="217" customWidth="1"/>
    <col min="8981" max="9207" width="8.7265625" style="217" customWidth="1"/>
    <col min="9208" max="9208" width="39.7265625" style="217" customWidth="1"/>
    <col min="9209" max="9211" width="6.1796875" style="217" customWidth="1"/>
    <col min="9212" max="9212" width="8.453125" style="217" bestFit="1" customWidth="1"/>
    <col min="9213" max="9213" width="12.54296875" style="217" bestFit="1" customWidth="1"/>
    <col min="9214" max="9214" width="27.26953125" style="217" bestFit="1" customWidth="1"/>
    <col min="9215" max="9215" width="9.1796875" style="217" customWidth="1"/>
    <col min="9216" max="9216" width="14.7265625" style="217"/>
    <col min="9217" max="9217" width="32.81640625" style="217" customWidth="1"/>
    <col min="9218" max="9221" width="5.54296875" style="217" customWidth="1"/>
    <col min="9222" max="9222" width="7" style="217" customWidth="1"/>
    <col min="9223" max="9230" width="5.54296875" style="217" customWidth="1"/>
    <col min="9231" max="9231" width="55" style="217" customWidth="1"/>
    <col min="9232" max="9232" width="8.7265625" style="217" customWidth="1"/>
    <col min="9233" max="9233" width="8.1796875" style="217" customWidth="1"/>
    <col min="9234" max="9234" width="7.1796875" style="217" customWidth="1"/>
    <col min="9235" max="9235" width="16.54296875" style="217" bestFit="1" customWidth="1"/>
    <col min="9236" max="9236" width="18.54296875" style="217" customWidth="1"/>
    <col min="9237" max="9463" width="8.7265625" style="217" customWidth="1"/>
    <col min="9464" max="9464" width="39.7265625" style="217" customWidth="1"/>
    <col min="9465" max="9467" width="6.1796875" style="217" customWidth="1"/>
    <col min="9468" max="9468" width="8.453125" style="217" bestFit="1" customWidth="1"/>
    <col min="9469" max="9469" width="12.54296875" style="217" bestFit="1" customWidth="1"/>
    <col min="9470" max="9470" width="27.26953125" style="217" bestFit="1" customWidth="1"/>
    <col min="9471" max="9471" width="9.1796875" style="217" customWidth="1"/>
    <col min="9472" max="9472" width="14.7265625" style="217"/>
    <col min="9473" max="9473" width="32.81640625" style="217" customWidth="1"/>
    <col min="9474" max="9477" width="5.54296875" style="217" customWidth="1"/>
    <col min="9478" max="9478" width="7" style="217" customWidth="1"/>
    <col min="9479" max="9486" width="5.54296875" style="217" customWidth="1"/>
    <col min="9487" max="9487" width="55" style="217" customWidth="1"/>
    <col min="9488" max="9488" width="8.7265625" style="217" customWidth="1"/>
    <col min="9489" max="9489" width="8.1796875" style="217" customWidth="1"/>
    <col min="9490" max="9490" width="7.1796875" style="217" customWidth="1"/>
    <col min="9491" max="9491" width="16.54296875" style="217" bestFit="1" customWidth="1"/>
    <col min="9492" max="9492" width="18.54296875" style="217" customWidth="1"/>
    <col min="9493" max="9719" width="8.7265625" style="217" customWidth="1"/>
    <col min="9720" max="9720" width="39.7265625" style="217" customWidth="1"/>
    <col min="9721" max="9723" width="6.1796875" style="217" customWidth="1"/>
    <col min="9724" max="9724" width="8.453125" style="217" bestFit="1" customWidth="1"/>
    <col min="9725" max="9725" width="12.54296875" style="217" bestFit="1" customWidth="1"/>
    <col min="9726" max="9726" width="27.26953125" style="217" bestFit="1" customWidth="1"/>
    <col min="9727" max="9727" width="9.1796875" style="217" customWidth="1"/>
    <col min="9728" max="9728" width="14.7265625" style="217"/>
    <col min="9729" max="9729" width="32.81640625" style="217" customWidth="1"/>
    <col min="9730" max="9733" width="5.54296875" style="217" customWidth="1"/>
    <col min="9734" max="9734" width="7" style="217" customWidth="1"/>
    <col min="9735" max="9742" width="5.54296875" style="217" customWidth="1"/>
    <col min="9743" max="9743" width="55" style="217" customWidth="1"/>
    <col min="9744" max="9744" width="8.7265625" style="217" customWidth="1"/>
    <col min="9745" max="9745" width="8.1796875" style="217" customWidth="1"/>
    <col min="9746" max="9746" width="7.1796875" style="217" customWidth="1"/>
    <col min="9747" max="9747" width="16.54296875" style="217" bestFit="1" customWidth="1"/>
    <col min="9748" max="9748" width="18.54296875" style="217" customWidth="1"/>
    <col min="9749" max="9975" width="8.7265625" style="217" customWidth="1"/>
    <col min="9976" max="9976" width="39.7265625" style="217" customWidth="1"/>
    <col min="9977" max="9979" width="6.1796875" style="217" customWidth="1"/>
    <col min="9980" max="9980" width="8.453125" style="217" bestFit="1" customWidth="1"/>
    <col min="9981" max="9981" width="12.54296875" style="217" bestFit="1" customWidth="1"/>
    <col min="9982" max="9982" width="27.26953125" style="217" bestFit="1" customWidth="1"/>
    <col min="9983" max="9983" width="9.1796875" style="217" customWidth="1"/>
    <col min="9984" max="9984" width="14.7265625" style="217"/>
    <col min="9985" max="9985" width="32.81640625" style="217" customWidth="1"/>
    <col min="9986" max="9989" width="5.54296875" style="217" customWidth="1"/>
    <col min="9990" max="9990" width="7" style="217" customWidth="1"/>
    <col min="9991" max="9998" width="5.54296875" style="217" customWidth="1"/>
    <col min="9999" max="9999" width="55" style="217" customWidth="1"/>
    <col min="10000" max="10000" width="8.7265625" style="217" customWidth="1"/>
    <col min="10001" max="10001" width="8.1796875" style="217" customWidth="1"/>
    <col min="10002" max="10002" width="7.1796875" style="217" customWidth="1"/>
    <col min="10003" max="10003" width="16.54296875" style="217" bestFit="1" customWidth="1"/>
    <col min="10004" max="10004" width="18.54296875" style="217" customWidth="1"/>
    <col min="10005" max="10231" width="8.7265625" style="217" customWidth="1"/>
    <col min="10232" max="10232" width="39.7265625" style="217" customWidth="1"/>
    <col min="10233" max="10235" width="6.1796875" style="217" customWidth="1"/>
    <col min="10236" max="10236" width="8.453125" style="217" bestFit="1" customWidth="1"/>
    <col min="10237" max="10237" width="12.54296875" style="217" bestFit="1" customWidth="1"/>
    <col min="10238" max="10238" width="27.26953125" style="217" bestFit="1" customWidth="1"/>
    <col min="10239" max="10239" width="9.1796875" style="217" customWidth="1"/>
    <col min="10240" max="10240" width="14.7265625" style="217"/>
    <col min="10241" max="10241" width="32.81640625" style="217" customWidth="1"/>
    <col min="10242" max="10245" width="5.54296875" style="217" customWidth="1"/>
    <col min="10246" max="10246" width="7" style="217" customWidth="1"/>
    <col min="10247" max="10254" width="5.54296875" style="217" customWidth="1"/>
    <col min="10255" max="10255" width="55" style="217" customWidth="1"/>
    <col min="10256" max="10256" width="8.7265625" style="217" customWidth="1"/>
    <col min="10257" max="10257" width="8.1796875" style="217" customWidth="1"/>
    <col min="10258" max="10258" width="7.1796875" style="217" customWidth="1"/>
    <col min="10259" max="10259" width="16.54296875" style="217" bestFit="1" customWidth="1"/>
    <col min="10260" max="10260" width="18.54296875" style="217" customWidth="1"/>
    <col min="10261" max="10487" width="8.7265625" style="217" customWidth="1"/>
    <col min="10488" max="10488" width="39.7265625" style="217" customWidth="1"/>
    <col min="10489" max="10491" width="6.1796875" style="217" customWidth="1"/>
    <col min="10492" max="10492" width="8.453125" style="217" bestFit="1" customWidth="1"/>
    <col min="10493" max="10493" width="12.54296875" style="217" bestFit="1" customWidth="1"/>
    <col min="10494" max="10494" width="27.26953125" style="217" bestFit="1" customWidth="1"/>
    <col min="10495" max="10495" width="9.1796875" style="217" customWidth="1"/>
    <col min="10496" max="10496" width="14.7265625" style="217"/>
    <col min="10497" max="10497" width="32.81640625" style="217" customWidth="1"/>
    <col min="10498" max="10501" width="5.54296875" style="217" customWidth="1"/>
    <col min="10502" max="10502" width="7" style="217" customWidth="1"/>
    <col min="10503" max="10510" width="5.54296875" style="217" customWidth="1"/>
    <col min="10511" max="10511" width="55" style="217" customWidth="1"/>
    <col min="10512" max="10512" width="8.7265625" style="217" customWidth="1"/>
    <col min="10513" max="10513" width="8.1796875" style="217" customWidth="1"/>
    <col min="10514" max="10514" width="7.1796875" style="217" customWidth="1"/>
    <col min="10515" max="10515" width="16.54296875" style="217" bestFit="1" customWidth="1"/>
    <col min="10516" max="10516" width="18.54296875" style="217" customWidth="1"/>
    <col min="10517" max="10743" width="8.7265625" style="217" customWidth="1"/>
    <col min="10744" max="10744" width="39.7265625" style="217" customWidth="1"/>
    <col min="10745" max="10747" width="6.1796875" style="217" customWidth="1"/>
    <col min="10748" max="10748" width="8.453125" style="217" bestFit="1" customWidth="1"/>
    <col min="10749" max="10749" width="12.54296875" style="217" bestFit="1" customWidth="1"/>
    <col min="10750" max="10750" width="27.26953125" style="217" bestFit="1" customWidth="1"/>
    <col min="10751" max="10751" width="9.1796875" style="217" customWidth="1"/>
    <col min="10752" max="10752" width="14.7265625" style="217"/>
    <col min="10753" max="10753" width="32.81640625" style="217" customWidth="1"/>
    <col min="10754" max="10757" width="5.54296875" style="217" customWidth="1"/>
    <col min="10758" max="10758" width="7" style="217" customWidth="1"/>
    <col min="10759" max="10766" width="5.54296875" style="217" customWidth="1"/>
    <col min="10767" max="10767" width="55" style="217" customWidth="1"/>
    <col min="10768" max="10768" width="8.7265625" style="217" customWidth="1"/>
    <col min="10769" max="10769" width="8.1796875" style="217" customWidth="1"/>
    <col min="10770" max="10770" width="7.1796875" style="217" customWidth="1"/>
    <col min="10771" max="10771" width="16.54296875" style="217" bestFit="1" customWidth="1"/>
    <col min="10772" max="10772" width="18.54296875" style="217" customWidth="1"/>
    <col min="10773" max="10999" width="8.7265625" style="217" customWidth="1"/>
    <col min="11000" max="11000" width="39.7265625" style="217" customWidth="1"/>
    <col min="11001" max="11003" width="6.1796875" style="217" customWidth="1"/>
    <col min="11004" max="11004" width="8.453125" style="217" bestFit="1" customWidth="1"/>
    <col min="11005" max="11005" width="12.54296875" style="217" bestFit="1" customWidth="1"/>
    <col min="11006" max="11006" width="27.26953125" style="217" bestFit="1" customWidth="1"/>
    <col min="11007" max="11007" width="9.1796875" style="217" customWidth="1"/>
    <col min="11008" max="11008" width="14.7265625" style="217"/>
    <col min="11009" max="11009" width="32.81640625" style="217" customWidth="1"/>
    <col min="11010" max="11013" width="5.54296875" style="217" customWidth="1"/>
    <col min="11014" max="11014" width="7" style="217" customWidth="1"/>
    <col min="11015" max="11022" width="5.54296875" style="217" customWidth="1"/>
    <col min="11023" max="11023" width="55" style="217" customWidth="1"/>
    <col min="11024" max="11024" width="8.7265625" style="217" customWidth="1"/>
    <col min="11025" max="11025" width="8.1796875" style="217" customWidth="1"/>
    <col min="11026" max="11026" width="7.1796875" style="217" customWidth="1"/>
    <col min="11027" max="11027" width="16.54296875" style="217" bestFit="1" customWidth="1"/>
    <col min="11028" max="11028" width="18.54296875" style="217" customWidth="1"/>
    <col min="11029" max="11255" width="8.7265625" style="217" customWidth="1"/>
    <col min="11256" max="11256" width="39.7265625" style="217" customWidth="1"/>
    <col min="11257" max="11259" width="6.1796875" style="217" customWidth="1"/>
    <col min="11260" max="11260" width="8.453125" style="217" bestFit="1" customWidth="1"/>
    <col min="11261" max="11261" width="12.54296875" style="217" bestFit="1" customWidth="1"/>
    <col min="11262" max="11262" width="27.26953125" style="217" bestFit="1" customWidth="1"/>
    <col min="11263" max="11263" width="9.1796875" style="217" customWidth="1"/>
    <col min="11264" max="11264" width="14.7265625" style="217"/>
    <col min="11265" max="11265" width="32.81640625" style="217" customWidth="1"/>
    <col min="11266" max="11269" width="5.54296875" style="217" customWidth="1"/>
    <col min="11270" max="11270" width="7" style="217" customWidth="1"/>
    <col min="11271" max="11278" width="5.54296875" style="217" customWidth="1"/>
    <col min="11279" max="11279" width="55" style="217" customWidth="1"/>
    <col min="11280" max="11280" width="8.7265625" style="217" customWidth="1"/>
    <col min="11281" max="11281" width="8.1796875" style="217" customWidth="1"/>
    <col min="11282" max="11282" width="7.1796875" style="217" customWidth="1"/>
    <col min="11283" max="11283" width="16.54296875" style="217" bestFit="1" customWidth="1"/>
    <col min="11284" max="11284" width="18.54296875" style="217" customWidth="1"/>
    <col min="11285" max="11511" width="8.7265625" style="217" customWidth="1"/>
    <col min="11512" max="11512" width="39.7265625" style="217" customWidth="1"/>
    <col min="11513" max="11515" width="6.1796875" style="217" customWidth="1"/>
    <col min="11516" max="11516" width="8.453125" style="217" bestFit="1" customWidth="1"/>
    <col min="11517" max="11517" width="12.54296875" style="217" bestFit="1" customWidth="1"/>
    <col min="11518" max="11518" width="27.26953125" style="217" bestFit="1" customWidth="1"/>
    <col min="11519" max="11519" width="9.1796875" style="217" customWidth="1"/>
    <col min="11520" max="11520" width="14.7265625" style="217"/>
    <col min="11521" max="11521" width="32.81640625" style="217" customWidth="1"/>
    <col min="11522" max="11525" width="5.54296875" style="217" customWidth="1"/>
    <col min="11526" max="11526" width="7" style="217" customWidth="1"/>
    <col min="11527" max="11534" width="5.54296875" style="217" customWidth="1"/>
    <col min="11535" max="11535" width="55" style="217" customWidth="1"/>
    <col min="11536" max="11536" width="8.7265625" style="217" customWidth="1"/>
    <col min="11537" max="11537" width="8.1796875" style="217" customWidth="1"/>
    <col min="11538" max="11538" width="7.1796875" style="217" customWidth="1"/>
    <col min="11539" max="11539" width="16.54296875" style="217" bestFit="1" customWidth="1"/>
    <col min="11540" max="11540" width="18.54296875" style="217" customWidth="1"/>
    <col min="11541" max="11767" width="8.7265625" style="217" customWidth="1"/>
    <col min="11768" max="11768" width="39.7265625" style="217" customWidth="1"/>
    <col min="11769" max="11771" width="6.1796875" style="217" customWidth="1"/>
    <col min="11772" max="11772" width="8.453125" style="217" bestFit="1" customWidth="1"/>
    <col min="11773" max="11773" width="12.54296875" style="217" bestFit="1" customWidth="1"/>
    <col min="11774" max="11774" width="27.26953125" style="217" bestFit="1" customWidth="1"/>
    <col min="11775" max="11775" width="9.1796875" style="217" customWidth="1"/>
    <col min="11776" max="11776" width="14.7265625" style="217"/>
    <col min="11777" max="11777" width="32.81640625" style="217" customWidth="1"/>
    <col min="11778" max="11781" width="5.54296875" style="217" customWidth="1"/>
    <col min="11782" max="11782" width="7" style="217" customWidth="1"/>
    <col min="11783" max="11790" width="5.54296875" style="217" customWidth="1"/>
    <col min="11791" max="11791" width="55" style="217" customWidth="1"/>
    <col min="11792" max="11792" width="8.7265625" style="217" customWidth="1"/>
    <col min="11793" max="11793" width="8.1796875" style="217" customWidth="1"/>
    <col min="11794" max="11794" width="7.1796875" style="217" customWidth="1"/>
    <col min="11795" max="11795" width="16.54296875" style="217" bestFit="1" customWidth="1"/>
    <col min="11796" max="11796" width="18.54296875" style="217" customWidth="1"/>
    <col min="11797" max="12023" width="8.7265625" style="217" customWidth="1"/>
    <col min="12024" max="12024" width="39.7265625" style="217" customWidth="1"/>
    <col min="12025" max="12027" width="6.1796875" style="217" customWidth="1"/>
    <col min="12028" max="12028" width="8.453125" style="217" bestFit="1" customWidth="1"/>
    <col min="12029" max="12029" width="12.54296875" style="217" bestFit="1" customWidth="1"/>
    <col min="12030" max="12030" width="27.26953125" style="217" bestFit="1" customWidth="1"/>
    <col min="12031" max="12031" width="9.1796875" style="217" customWidth="1"/>
    <col min="12032" max="12032" width="14.7265625" style="217"/>
    <col min="12033" max="12033" width="32.81640625" style="217" customWidth="1"/>
    <col min="12034" max="12037" width="5.54296875" style="217" customWidth="1"/>
    <col min="12038" max="12038" width="7" style="217" customWidth="1"/>
    <col min="12039" max="12046" width="5.54296875" style="217" customWidth="1"/>
    <col min="12047" max="12047" width="55" style="217" customWidth="1"/>
    <col min="12048" max="12048" width="8.7265625" style="217" customWidth="1"/>
    <col min="12049" max="12049" width="8.1796875" style="217" customWidth="1"/>
    <col min="12050" max="12050" width="7.1796875" style="217" customWidth="1"/>
    <col min="12051" max="12051" width="16.54296875" style="217" bestFit="1" customWidth="1"/>
    <col min="12052" max="12052" width="18.54296875" style="217" customWidth="1"/>
    <col min="12053" max="12279" width="8.7265625" style="217" customWidth="1"/>
    <col min="12280" max="12280" width="39.7265625" style="217" customWidth="1"/>
    <col min="12281" max="12283" width="6.1796875" style="217" customWidth="1"/>
    <col min="12284" max="12284" width="8.453125" style="217" bestFit="1" customWidth="1"/>
    <col min="12285" max="12285" width="12.54296875" style="217" bestFit="1" customWidth="1"/>
    <col min="12286" max="12286" width="27.26953125" style="217" bestFit="1" customWidth="1"/>
    <col min="12287" max="12287" width="9.1796875" style="217" customWidth="1"/>
    <col min="12288" max="12288" width="14.7265625" style="217"/>
    <col min="12289" max="12289" width="32.81640625" style="217" customWidth="1"/>
    <col min="12290" max="12293" width="5.54296875" style="217" customWidth="1"/>
    <col min="12294" max="12294" width="7" style="217" customWidth="1"/>
    <col min="12295" max="12302" width="5.54296875" style="217" customWidth="1"/>
    <col min="12303" max="12303" width="55" style="217" customWidth="1"/>
    <col min="12304" max="12304" width="8.7265625" style="217" customWidth="1"/>
    <col min="12305" max="12305" width="8.1796875" style="217" customWidth="1"/>
    <col min="12306" max="12306" width="7.1796875" style="217" customWidth="1"/>
    <col min="12307" max="12307" width="16.54296875" style="217" bestFit="1" customWidth="1"/>
    <col min="12308" max="12308" width="18.54296875" style="217" customWidth="1"/>
    <col min="12309" max="12535" width="8.7265625" style="217" customWidth="1"/>
    <col min="12536" max="12536" width="39.7265625" style="217" customWidth="1"/>
    <col min="12537" max="12539" width="6.1796875" style="217" customWidth="1"/>
    <col min="12540" max="12540" width="8.453125" style="217" bestFit="1" customWidth="1"/>
    <col min="12541" max="12541" width="12.54296875" style="217" bestFit="1" customWidth="1"/>
    <col min="12542" max="12542" width="27.26953125" style="217" bestFit="1" customWidth="1"/>
    <col min="12543" max="12543" width="9.1796875" style="217" customWidth="1"/>
    <col min="12544" max="12544" width="14.7265625" style="217"/>
    <col min="12545" max="12545" width="32.81640625" style="217" customWidth="1"/>
    <col min="12546" max="12549" width="5.54296875" style="217" customWidth="1"/>
    <col min="12550" max="12550" width="7" style="217" customWidth="1"/>
    <col min="12551" max="12558" width="5.54296875" style="217" customWidth="1"/>
    <col min="12559" max="12559" width="55" style="217" customWidth="1"/>
    <col min="12560" max="12560" width="8.7265625" style="217" customWidth="1"/>
    <col min="12561" max="12561" width="8.1796875" style="217" customWidth="1"/>
    <col min="12562" max="12562" width="7.1796875" style="217" customWidth="1"/>
    <col min="12563" max="12563" width="16.54296875" style="217" bestFit="1" customWidth="1"/>
    <col min="12564" max="12564" width="18.54296875" style="217" customWidth="1"/>
    <col min="12565" max="12791" width="8.7265625" style="217" customWidth="1"/>
    <col min="12792" max="12792" width="39.7265625" style="217" customWidth="1"/>
    <col min="12793" max="12795" width="6.1796875" style="217" customWidth="1"/>
    <col min="12796" max="12796" width="8.453125" style="217" bestFit="1" customWidth="1"/>
    <col min="12797" max="12797" width="12.54296875" style="217" bestFit="1" customWidth="1"/>
    <col min="12798" max="12798" width="27.26953125" style="217" bestFit="1" customWidth="1"/>
    <col min="12799" max="12799" width="9.1796875" style="217" customWidth="1"/>
    <col min="12800" max="12800" width="14.7265625" style="217"/>
    <col min="12801" max="12801" width="32.81640625" style="217" customWidth="1"/>
    <col min="12802" max="12805" width="5.54296875" style="217" customWidth="1"/>
    <col min="12806" max="12806" width="7" style="217" customWidth="1"/>
    <col min="12807" max="12814" width="5.54296875" style="217" customWidth="1"/>
    <col min="12815" max="12815" width="55" style="217" customWidth="1"/>
    <col min="12816" max="12816" width="8.7265625" style="217" customWidth="1"/>
    <col min="12817" max="12817" width="8.1796875" style="217" customWidth="1"/>
    <col min="12818" max="12818" width="7.1796875" style="217" customWidth="1"/>
    <col min="12819" max="12819" width="16.54296875" style="217" bestFit="1" customWidth="1"/>
    <col min="12820" max="12820" width="18.54296875" style="217" customWidth="1"/>
    <col min="12821" max="13047" width="8.7265625" style="217" customWidth="1"/>
    <col min="13048" max="13048" width="39.7265625" style="217" customWidth="1"/>
    <col min="13049" max="13051" width="6.1796875" style="217" customWidth="1"/>
    <col min="13052" max="13052" width="8.453125" style="217" bestFit="1" customWidth="1"/>
    <col min="13053" max="13053" width="12.54296875" style="217" bestFit="1" customWidth="1"/>
    <col min="13054" max="13054" width="27.26953125" style="217" bestFit="1" customWidth="1"/>
    <col min="13055" max="13055" width="9.1796875" style="217" customWidth="1"/>
    <col min="13056" max="13056" width="14.7265625" style="217"/>
    <col min="13057" max="13057" width="32.81640625" style="217" customWidth="1"/>
    <col min="13058" max="13061" width="5.54296875" style="217" customWidth="1"/>
    <col min="13062" max="13062" width="7" style="217" customWidth="1"/>
    <col min="13063" max="13070" width="5.54296875" style="217" customWidth="1"/>
    <col min="13071" max="13071" width="55" style="217" customWidth="1"/>
    <col min="13072" max="13072" width="8.7265625" style="217" customWidth="1"/>
    <col min="13073" max="13073" width="8.1796875" style="217" customWidth="1"/>
    <col min="13074" max="13074" width="7.1796875" style="217" customWidth="1"/>
    <col min="13075" max="13075" width="16.54296875" style="217" bestFit="1" customWidth="1"/>
    <col min="13076" max="13076" width="18.54296875" style="217" customWidth="1"/>
    <col min="13077" max="13303" width="8.7265625" style="217" customWidth="1"/>
    <col min="13304" max="13304" width="39.7265625" style="217" customWidth="1"/>
    <col min="13305" max="13307" width="6.1796875" style="217" customWidth="1"/>
    <col min="13308" max="13308" width="8.453125" style="217" bestFit="1" customWidth="1"/>
    <col min="13309" max="13309" width="12.54296875" style="217" bestFit="1" customWidth="1"/>
    <col min="13310" max="13310" width="27.26953125" style="217" bestFit="1" customWidth="1"/>
    <col min="13311" max="13311" width="9.1796875" style="217" customWidth="1"/>
    <col min="13312" max="13312" width="14.7265625" style="217"/>
    <col min="13313" max="13313" width="32.81640625" style="217" customWidth="1"/>
    <col min="13314" max="13317" width="5.54296875" style="217" customWidth="1"/>
    <col min="13318" max="13318" width="7" style="217" customWidth="1"/>
    <col min="13319" max="13326" width="5.54296875" style="217" customWidth="1"/>
    <col min="13327" max="13327" width="55" style="217" customWidth="1"/>
    <col min="13328" max="13328" width="8.7265625" style="217" customWidth="1"/>
    <col min="13329" max="13329" width="8.1796875" style="217" customWidth="1"/>
    <col min="13330" max="13330" width="7.1796875" style="217" customWidth="1"/>
    <col min="13331" max="13331" width="16.54296875" style="217" bestFit="1" customWidth="1"/>
    <col min="13332" max="13332" width="18.54296875" style="217" customWidth="1"/>
    <col min="13333" max="13559" width="8.7265625" style="217" customWidth="1"/>
    <col min="13560" max="13560" width="39.7265625" style="217" customWidth="1"/>
    <col min="13561" max="13563" width="6.1796875" style="217" customWidth="1"/>
    <col min="13564" max="13564" width="8.453125" style="217" bestFit="1" customWidth="1"/>
    <col min="13565" max="13565" width="12.54296875" style="217" bestFit="1" customWidth="1"/>
    <col min="13566" max="13566" width="27.26953125" style="217" bestFit="1" customWidth="1"/>
    <col min="13567" max="13567" width="9.1796875" style="217" customWidth="1"/>
    <col min="13568" max="13568" width="14.7265625" style="217"/>
    <col min="13569" max="13569" width="32.81640625" style="217" customWidth="1"/>
    <col min="13570" max="13573" width="5.54296875" style="217" customWidth="1"/>
    <col min="13574" max="13574" width="7" style="217" customWidth="1"/>
    <col min="13575" max="13582" width="5.54296875" style="217" customWidth="1"/>
    <col min="13583" max="13583" width="55" style="217" customWidth="1"/>
    <col min="13584" max="13584" width="8.7265625" style="217" customWidth="1"/>
    <col min="13585" max="13585" width="8.1796875" style="217" customWidth="1"/>
    <col min="13586" max="13586" width="7.1796875" style="217" customWidth="1"/>
    <col min="13587" max="13587" width="16.54296875" style="217" bestFit="1" customWidth="1"/>
    <col min="13588" max="13588" width="18.54296875" style="217" customWidth="1"/>
    <col min="13589" max="13815" width="8.7265625" style="217" customWidth="1"/>
    <col min="13816" max="13816" width="39.7265625" style="217" customWidth="1"/>
    <col min="13817" max="13819" width="6.1796875" style="217" customWidth="1"/>
    <col min="13820" max="13820" width="8.453125" style="217" bestFit="1" customWidth="1"/>
    <col min="13821" max="13821" width="12.54296875" style="217" bestFit="1" customWidth="1"/>
    <col min="13822" max="13822" width="27.26953125" style="217" bestFit="1" customWidth="1"/>
    <col min="13823" max="13823" width="9.1796875" style="217" customWidth="1"/>
    <col min="13824" max="13824" width="14.7265625" style="217"/>
    <col min="13825" max="13825" width="32.81640625" style="217" customWidth="1"/>
    <col min="13826" max="13829" width="5.54296875" style="217" customWidth="1"/>
    <col min="13830" max="13830" width="7" style="217" customWidth="1"/>
    <col min="13831" max="13838" width="5.54296875" style="217" customWidth="1"/>
    <col min="13839" max="13839" width="55" style="217" customWidth="1"/>
    <col min="13840" max="13840" width="8.7265625" style="217" customWidth="1"/>
    <col min="13841" max="13841" width="8.1796875" style="217" customWidth="1"/>
    <col min="13842" max="13842" width="7.1796875" style="217" customWidth="1"/>
    <col min="13843" max="13843" width="16.54296875" style="217" bestFit="1" customWidth="1"/>
    <col min="13844" max="13844" width="18.54296875" style="217" customWidth="1"/>
    <col min="13845" max="14071" width="8.7265625" style="217" customWidth="1"/>
    <col min="14072" max="14072" width="39.7265625" style="217" customWidth="1"/>
    <col min="14073" max="14075" width="6.1796875" style="217" customWidth="1"/>
    <col min="14076" max="14076" width="8.453125" style="217" bestFit="1" customWidth="1"/>
    <col min="14077" max="14077" width="12.54296875" style="217" bestFit="1" customWidth="1"/>
    <col min="14078" max="14078" width="27.26953125" style="217" bestFit="1" customWidth="1"/>
    <col min="14079" max="14079" width="9.1796875" style="217" customWidth="1"/>
    <col min="14080" max="14080" width="14.7265625" style="217"/>
    <col min="14081" max="14081" width="32.81640625" style="217" customWidth="1"/>
    <col min="14082" max="14085" width="5.54296875" style="217" customWidth="1"/>
    <col min="14086" max="14086" width="7" style="217" customWidth="1"/>
    <col min="14087" max="14094" width="5.54296875" style="217" customWidth="1"/>
    <col min="14095" max="14095" width="55" style="217" customWidth="1"/>
    <col min="14096" max="14096" width="8.7265625" style="217" customWidth="1"/>
    <col min="14097" max="14097" width="8.1796875" style="217" customWidth="1"/>
    <col min="14098" max="14098" width="7.1796875" style="217" customWidth="1"/>
    <col min="14099" max="14099" width="16.54296875" style="217" bestFit="1" customWidth="1"/>
    <col min="14100" max="14100" width="18.54296875" style="217" customWidth="1"/>
    <col min="14101" max="14327" width="8.7265625" style="217" customWidth="1"/>
    <col min="14328" max="14328" width="39.7265625" style="217" customWidth="1"/>
    <col min="14329" max="14331" width="6.1796875" style="217" customWidth="1"/>
    <col min="14332" max="14332" width="8.453125" style="217" bestFit="1" customWidth="1"/>
    <col min="14333" max="14333" width="12.54296875" style="217" bestFit="1" customWidth="1"/>
    <col min="14334" max="14334" width="27.26953125" style="217" bestFit="1" customWidth="1"/>
    <col min="14335" max="14335" width="9.1796875" style="217" customWidth="1"/>
    <col min="14336" max="14336" width="14.7265625" style="217"/>
    <col min="14337" max="14337" width="32.81640625" style="217" customWidth="1"/>
    <col min="14338" max="14341" width="5.54296875" style="217" customWidth="1"/>
    <col min="14342" max="14342" width="7" style="217" customWidth="1"/>
    <col min="14343" max="14350" width="5.54296875" style="217" customWidth="1"/>
    <col min="14351" max="14351" width="55" style="217" customWidth="1"/>
    <col min="14352" max="14352" width="8.7265625" style="217" customWidth="1"/>
    <col min="14353" max="14353" width="8.1796875" style="217" customWidth="1"/>
    <col min="14354" max="14354" width="7.1796875" style="217" customWidth="1"/>
    <col min="14355" max="14355" width="16.54296875" style="217" bestFit="1" customWidth="1"/>
    <col min="14356" max="14356" width="18.54296875" style="217" customWidth="1"/>
    <col min="14357" max="14583" width="8.7265625" style="217" customWidth="1"/>
    <col min="14584" max="14584" width="39.7265625" style="217" customWidth="1"/>
    <col min="14585" max="14587" width="6.1796875" style="217" customWidth="1"/>
    <col min="14588" max="14588" width="8.453125" style="217" bestFit="1" customWidth="1"/>
    <col min="14589" max="14589" width="12.54296875" style="217" bestFit="1" customWidth="1"/>
    <col min="14590" max="14590" width="27.26953125" style="217" bestFit="1" customWidth="1"/>
    <col min="14591" max="14591" width="9.1796875" style="217" customWidth="1"/>
    <col min="14592" max="14592" width="14.7265625" style="217"/>
    <col min="14593" max="14593" width="32.81640625" style="217" customWidth="1"/>
    <col min="14594" max="14597" width="5.54296875" style="217" customWidth="1"/>
    <col min="14598" max="14598" width="7" style="217" customWidth="1"/>
    <col min="14599" max="14606" width="5.54296875" style="217" customWidth="1"/>
    <col min="14607" max="14607" width="55" style="217" customWidth="1"/>
    <col min="14608" max="14608" width="8.7265625" style="217" customWidth="1"/>
    <col min="14609" max="14609" width="8.1796875" style="217" customWidth="1"/>
    <col min="14610" max="14610" width="7.1796875" style="217" customWidth="1"/>
    <col min="14611" max="14611" width="16.54296875" style="217" bestFit="1" customWidth="1"/>
    <col min="14612" max="14612" width="18.54296875" style="217" customWidth="1"/>
    <col min="14613" max="14839" width="8.7265625" style="217" customWidth="1"/>
    <col min="14840" max="14840" width="39.7265625" style="217" customWidth="1"/>
    <col min="14841" max="14843" width="6.1796875" style="217" customWidth="1"/>
    <col min="14844" max="14844" width="8.453125" style="217" bestFit="1" customWidth="1"/>
    <col min="14845" max="14845" width="12.54296875" style="217" bestFit="1" customWidth="1"/>
    <col min="14846" max="14846" width="27.26953125" style="217" bestFit="1" customWidth="1"/>
    <col min="14847" max="14847" width="9.1796875" style="217" customWidth="1"/>
    <col min="14848" max="14848" width="14.7265625" style="217"/>
    <col min="14849" max="14849" width="32.81640625" style="217" customWidth="1"/>
    <col min="14850" max="14853" width="5.54296875" style="217" customWidth="1"/>
    <col min="14854" max="14854" width="7" style="217" customWidth="1"/>
    <col min="14855" max="14862" width="5.54296875" style="217" customWidth="1"/>
    <col min="14863" max="14863" width="55" style="217" customWidth="1"/>
    <col min="14864" max="14864" width="8.7265625" style="217" customWidth="1"/>
    <col min="14865" max="14865" width="8.1796875" style="217" customWidth="1"/>
    <col min="14866" max="14866" width="7.1796875" style="217" customWidth="1"/>
    <col min="14867" max="14867" width="16.54296875" style="217" bestFit="1" customWidth="1"/>
    <col min="14868" max="14868" width="18.54296875" style="217" customWidth="1"/>
    <col min="14869" max="15095" width="8.7265625" style="217" customWidth="1"/>
    <col min="15096" max="15096" width="39.7265625" style="217" customWidth="1"/>
    <col min="15097" max="15099" width="6.1796875" style="217" customWidth="1"/>
    <col min="15100" max="15100" width="8.453125" style="217" bestFit="1" customWidth="1"/>
    <col min="15101" max="15101" width="12.54296875" style="217" bestFit="1" customWidth="1"/>
    <col min="15102" max="15102" width="27.26953125" style="217" bestFit="1" customWidth="1"/>
    <col min="15103" max="15103" width="9.1796875" style="217" customWidth="1"/>
    <col min="15104" max="15104" width="14.7265625" style="217"/>
    <col min="15105" max="15105" width="32.81640625" style="217" customWidth="1"/>
    <col min="15106" max="15109" width="5.54296875" style="217" customWidth="1"/>
    <col min="15110" max="15110" width="7" style="217" customWidth="1"/>
    <col min="15111" max="15118" width="5.54296875" style="217" customWidth="1"/>
    <col min="15119" max="15119" width="55" style="217" customWidth="1"/>
    <col min="15120" max="15120" width="8.7265625" style="217" customWidth="1"/>
    <col min="15121" max="15121" width="8.1796875" style="217" customWidth="1"/>
    <col min="15122" max="15122" width="7.1796875" style="217" customWidth="1"/>
    <col min="15123" max="15123" width="16.54296875" style="217" bestFit="1" customWidth="1"/>
    <col min="15124" max="15124" width="18.54296875" style="217" customWidth="1"/>
    <col min="15125" max="15351" width="8.7265625" style="217" customWidth="1"/>
    <col min="15352" max="15352" width="39.7265625" style="217" customWidth="1"/>
    <col min="15353" max="15355" width="6.1796875" style="217" customWidth="1"/>
    <col min="15356" max="15356" width="8.453125" style="217" bestFit="1" customWidth="1"/>
    <col min="15357" max="15357" width="12.54296875" style="217" bestFit="1" customWidth="1"/>
    <col min="15358" max="15358" width="27.26953125" style="217" bestFit="1" customWidth="1"/>
    <col min="15359" max="15359" width="9.1796875" style="217" customWidth="1"/>
    <col min="15360" max="15360" width="14.7265625" style="217"/>
    <col min="15361" max="15361" width="32.81640625" style="217" customWidth="1"/>
    <col min="15362" max="15365" width="5.54296875" style="217" customWidth="1"/>
    <col min="15366" max="15366" width="7" style="217" customWidth="1"/>
    <col min="15367" max="15374" width="5.54296875" style="217" customWidth="1"/>
    <col min="15375" max="15375" width="55" style="217" customWidth="1"/>
    <col min="15376" max="15376" width="8.7265625" style="217" customWidth="1"/>
    <col min="15377" max="15377" width="8.1796875" style="217" customWidth="1"/>
    <col min="15378" max="15378" width="7.1796875" style="217" customWidth="1"/>
    <col min="15379" max="15379" width="16.54296875" style="217" bestFit="1" customWidth="1"/>
    <col min="15380" max="15380" width="18.54296875" style="217" customWidth="1"/>
    <col min="15381" max="15607" width="8.7265625" style="217" customWidth="1"/>
    <col min="15608" max="15608" width="39.7265625" style="217" customWidth="1"/>
    <col min="15609" max="15611" width="6.1796875" style="217" customWidth="1"/>
    <col min="15612" max="15612" width="8.453125" style="217" bestFit="1" customWidth="1"/>
    <col min="15613" max="15613" width="12.54296875" style="217" bestFit="1" customWidth="1"/>
    <col min="15614" max="15614" width="27.26953125" style="217" bestFit="1" customWidth="1"/>
    <col min="15615" max="15615" width="9.1796875" style="217" customWidth="1"/>
    <col min="15616" max="15616" width="14.7265625" style="217"/>
    <col min="15617" max="15617" width="32.81640625" style="217" customWidth="1"/>
    <col min="15618" max="15621" width="5.54296875" style="217" customWidth="1"/>
    <col min="15622" max="15622" width="7" style="217" customWidth="1"/>
    <col min="15623" max="15630" width="5.54296875" style="217" customWidth="1"/>
    <col min="15631" max="15631" width="55" style="217" customWidth="1"/>
    <col min="15632" max="15632" width="8.7265625" style="217" customWidth="1"/>
    <col min="15633" max="15633" width="8.1796875" style="217" customWidth="1"/>
    <col min="15634" max="15634" width="7.1796875" style="217" customWidth="1"/>
    <col min="15635" max="15635" width="16.54296875" style="217" bestFit="1" customWidth="1"/>
    <col min="15636" max="15636" width="18.54296875" style="217" customWidth="1"/>
    <col min="15637" max="15863" width="8.7265625" style="217" customWidth="1"/>
    <col min="15864" max="15864" width="39.7265625" style="217" customWidth="1"/>
    <col min="15865" max="15867" width="6.1796875" style="217" customWidth="1"/>
    <col min="15868" max="15868" width="8.453125" style="217" bestFit="1" customWidth="1"/>
    <col min="15869" max="15869" width="12.54296875" style="217" bestFit="1" customWidth="1"/>
    <col min="15870" max="15870" width="27.26953125" style="217" bestFit="1" customWidth="1"/>
    <col min="15871" max="15871" width="9.1796875" style="217" customWidth="1"/>
    <col min="15872" max="15872" width="14.7265625" style="217"/>
    <col min="15873" max="15873" width="32.81640625" style="217" customWidth="1"/>
    <col min="15874" max="15877" width="5.54296875" style="217" customWidth="1"/>
    <col min="15878" max="15878" width="7" style="217" customWidth="1"/>
    <col min="15879" max="15886" width="5.54296875" style="217" customWidth="1"/>
    <col min="15887" max="15887" width="55" style="217" customWidth="1"/>
    <col min="15888" max="15888" width="8.7265625" style="217" customWidth="1"/>
    <col min="15889" max="15889" width="8.1796875" style="217" customWidth="1"/>
    <col min="15890" max="15890" width="7.1796875" style="217" customWidth="1"/>
    <col min="15891" max="15891" width="16.54296875" style="217" bestFit="1" customWidth="1"/>
    <col min="15892" max="15892" width="18.54296875" style="217" customWidth="1"/>
    <col min="15893" max="16119" width="8.7265625" style="217" customWidth="1"/>
    <col min="16120" max="16120" width="39.7265625" style="217" customWidth="1"/>
    <col min="16121" max="16123" width="6.1796875" style="217" customWidth="1"/>
    <col min="16124" max="16124" width="8.453125" style="217" bestFit="1" customWidth="1"/>
    <col min="16125" max="16125" width="12.54296875" style="217" bestFit="1" customWidth="1"/>
    <col min="16126" max="16126" width="27.26953125" style="217" bestFit="1" customWidth="1"/>
    <col min="16127" max="16127" width="9.1796875" style="217" customWidth="1"/>
    <col min="16128" max="16128" width="14.7265625" style="217"/>
    <col min="16129" max="16129" width="32.81640625" style="217" customWidth="1"/>
    <col min="16130" max="16133" width="5.54296875" style="217" customWidth="1"/>
    <col min="16134" max="16134" width="7" style="217" customWidth="1"/>
    <col min="16135" max="16142" width="5.54296875" style="217" customWidth="1"/>
    <col min="16143" max="16143" width="55" style="217" customWidth="1"/>
    <col min="16144" max="16144" width="8.7265625" style="217" customWidth="1"/>
    <col min="16145" max="16145" width="8.1796875" style="217" customWidth="1"/>
    <col min="16146" max="16146" width="7.1796875" style="217" customWidth="1"/>
    <col min="16147" max="16147" width="16.54296875" style="217" bestFit="1" customWidth="1"/>
    <col min="16148" max="16148" width="18.54296875" style="217" customWidth="1"/>
    <col min="16149" max="16375" width="8.7265625" style="217" customWidth="1"/>
    <col min="16376" max="16376" width="39.7265625" style="217" customWidth="1"/>
    <col min="16377" max="16379" width="6.1796875" style="217" customWidth="1"/>
    <col min="16380" max="16380" width="8.453125" style="217" bestFit="1" customWidth="1"/>
    <col min="16381" max="16381" width="12.54296875" style="217" bestFit="1" customWidth="1"/>
    <col min="16382" max="16382" width="27.26953125" style="217" bestFit="1" customWidth="1"/>
    <col min="16383" max="16384" width="9.1796875" style="217" customWidth="1"/>
  </cols>
  <sheetData>
    <row r="1" spans="1:24" ht="32.5" customHeight="1" thickBot="1" x14ac:dyDescent="0.35">
      <c r="B1" s="314" t="s">
        <v>281</v>
      </c>
      <c r="C1" s="257"/>
      <c r="D1" s="257"/>
      <c r="E1" s="257"/>
      <c r="F1" s="257"/>
      <c r="G1" s="257"/>
      <c r="H1" s="257"/>
      <c r="I1" s="257"/>
      <c r="J1" s="257"/>
      <c r="K1" s="257"/>
      <c r="L1" s="257"/>
      <c r="M1" s="257"/>
      <c r="N1" s="257"/>
      <c r="O1" s="257"/>
      <c r="P1" s="257"/>
      <c r="Q1" s="257"/>
      <c r="R1" s="257"/>
      <c r="S1" s="257"/>
    </row>
    <row r="2" spans="1:24" x14ac:dyDescent="0.3">
      <c r="A2" s="1583" t="s">
        <v>282</v>
      </c>
      <c r="B2" s="1519" t="s">
        <v>51</v>
      </c>
      <c r="C2" s="1520"/>
      <c r="D2" s="1520"/>
      <c r="E2" s="1520"/>
      <c r="F2" s="1520"/>
      <c r="G2" s="1520"/>
      <c r="H2" s="1520"/>
      <c r="I2" s="1520"/>
      <c r="J2" s="1520"/>
      <c r="K2" s="1520"/>
      <c r="L2" s="1520"/>
      <c r="M2" s="1520"/>
      <c r="N2" s="1521"/>
      <c r="O2" s="1586" t="s">
        <v>52</v>
      </c>
      <c r="P2" s="1525" t="s">
        <v>53</v>
      </c>
      <c r="Q2" s="1525" t="s">
        <v>53</v>
      </c>
      <c r="R2" s="1525" t="s">
        <v>54</v>
      </c>
      <c r="S2" s="1513" t="s">
        <v>339</v>
      </c>
      <c r="V2" s="166"/>
      <c r="W2" s="166"/>
      <c r="X2" s="166"/>
    </row>
    <row r="3" spans="1:24" x14ac:dyDescent="0.3">
      <c r="A3" s="1584"/>
      <c r="B3" s="262">
        <f t="shared" ref="B3:N3" si="0">SUM(B6:B38)</f>
        <v>0</v>
      </c>
      <c r="C3" s="262">
        <f t="shared" si="0"/>
        <v>10</v>
      </c>
      <c r="D3" s="262">
        <f t="shared" si="0"/>
        <v>42</v>
      </c>
      <c r="E3" s="262">
        <f t="shared" si="0"/>
        <v>74</v>
      </c>
      <c r="F3" s="262">
        <f t="shared" si="0"/>
        <v>77</v>
      </c>
      <c r="G3" s="262">
        <f t="shared" si="0"/>
        <v>85</v>
      </c>
      <c r="H3" s="262">
        <f t="shared" si="0"/>
        <v>40</v>
      </c>
      <c r="I3" s="262">
        <f t="shared" si="0"/>
        <v>40</v>
      </c>
      <c r="J3" s="262">
        <f t="shared" si="0"/>
        <v>40</v>
      </c>
      <c r="K3" s="262">
        <f t="shared" si="0"/>
        <v>35</v>
      </c>
      <c r="L3" s="262">
        <f t="shared" si="0"/>
        <v>40</v>
      </c>
      <c r="M3" s="262">
        <f t="shared" si="0"/>
        <v>30</v>
      </c>
      <c r="N3" s="262">
        <f t="shared" si="0"/>
        <v>30</v>
      </c>
      <c r="O3" s="1587"/>
      <c r="P3" s="1526"/>
      <c r="Q3" s="1526"/>
      <c r="R3" s="1526"/>
      <c r="S3" s="1514"/>
    </row>
    <row r="4" spans="1:24" s="263" customFormat="1" ht="13.5" thickBot="1" x14ac:dyDescent="0.35">
      <c r="A4" s="1585"/>
      <c r="B4" s="417">
        <v>2018</v>
      </c>
      <c r="C4" s="418">
        <v>2019</v>
      </c>
      <c r="D4" s="418">
        <v>2020</v>
      </c>
      <c r="E4" s="55">
        <v>2021</v>
      </c>
      <c r="F4" s="55">
        <v>2022</v>
      </c>
      <c r="G4" s="55">
        <v>2023</v>
      </c>
      <c r="H4" s="55">
        <v>2024</v>
      </c>
      <c r="I4" s="55">
        <v>2025</v>
      </c>
      <c r="J4" s="56">
        <v>2026</v>
      </c>
      <c r="K4" s="56">
        <v>2027</v>
      </c>
      <c r="L4" s="419">
        <v>2028</v>
      </c>
      <c r="M4" s="419">
        <v>2029</v>
      </c>
      <c r="N4" s="419">
        <v>2030</v>
      </c>
      <c r="O4" s="1588"/>
      <c r="P4" s="1527"/>
      <c r="Q4" s="1527"/>
      <c r="R4" s="1527"/>
      <c r="S4" s="1515"/>
    </row>
    <row r="5" spans="1:24" s="263" customFormat="1" x14ac:dyDescent="0.3">
      <c r="A5" s="317">
        <v>1</v>
      </c>
      <c r="B5" s="317">
        <v>2</v>
      </c>
      <c r="C5" s="317">
        <v>3</v>
      </c>
      <c r="D5" s="317">
        <v>4</v>
      </c>
      <c r="E5" s="317">
        <v>5</v>
      </c>
      <c r="F5" s="317">
        <v>6</v>
      </c>
      <c r="G5" s="317">
        <v>7</v>
      </c>
      <c r="H5" s="317">
        <v>8</v>
      </c>
      <c r="I5" s="317">
        <v>9</v>
      </c>
      <c r="J5" s="317">
        <v>10</v>
      </c>
      <c r="K5" s="317">
        <v>11</v>
      </c>
      <c r="L5" s="317">
        <v>12</v>
      </c>
      <c r="M5" s="317">
        <v>13</v>
      </c>
      <c r="N5" s="317">
        <v>14</v>
      </c>
      <c r="O5" s="317">
        <v>15</v>
      </c>
      <c r="P5" s="317">
        <v>16</v>
      </c>
      <c r="Q5" s="317">
        <v>17</v>
      </c>
      <c r="R5" s="317">
        <v>18</v>
      </c>
      <c r="S5" s="317">
        <v>19</v>
      </c>
    </row>
    <row r="6" spans="1:24" s="263" customFormat="1" ht="26" x14ac:dyDescent="0.3">
      <c r="A6" s="264" t="s">
        <v>55</v>
      </c>
      <c r="B6" s="265"/>
      <c r="C6" s="265"/>
      <c r="D6" s="265"/>
      <c r="E6" s="266"/>
      <c r="F6" s="176"/>
      <c r="G6" s="266"/>
      <c r="H6" s="266"/>
      <c r="I6" s="266"/>
      <c r="J6" s="266"/>
      <c r="K6" s="266"/>
      <c r="L6" s="266"/>
      <c r="M6" s="266"/>
      <c r="N6" s="266"/>
      <c r="O6" s="267"/>
      <c r="P6" s="268"/>
      <c r="Q6" s="268"/>
      <c r="R6" s="268"/>
      <c r="S6" s="268"/>
    </row>
    <row r="7" spans="1:24" s="274" customFormat="1" ht="39" x14ac:dyDescent="0.3">
      <c r="A7" s="269" t="s">
        <v>283</v>
      </c>
      <c r="B7" s="58"/>
      <c r="C7" s="58"/>
      <c r="D7" s="58"/>
      <c r="E7" s="58">
        <v>5</v>
      </c>
      <c r="F7" s="58">
        <v>10</v>
      </c>
      <c r="G7" s="58">
        <v>10</v>
      </c>
      <c r="H7" s="58"/>
      <c r="I7" s="180"/>
      <c r="J7" s="180"/>
      <c r="K7" s="180"/>
      <c r="L7" s="180"/>
      <c r="M7" s="180"/>
      <c r="N7" s="270"/>
      <c r="O7" s="252" t="s">
        <v>284</v>
      </c>
      <c r="P7" s="271">
        <v>17.5</v>
      </c>
      <c r="Q7" s="271">
        <v>26</v>
      </c>
      <c r="R7" s="271">
        <v>8.5</v>
      </c>
      <c r="S7" s="272">
        <v>16500</v>
      </c>
      <c r="T7" s="273"/>
      <c r="V7" s="275"/>
    </row>
    <row r="8" spans="1:24" s="274" customFormat="1" ht="39" x14ac:dyDescent="0.3">
      <c r="A8" s="269" t="s">
        <v>331</v>
      </c>
      <c r="B8" s="58"/>
      <c r="C8" s="58"/>
      <c r="D8" s="58"/>
      <c r="E8" s="58"/>
      <c r="F8" s="70"/>
      <c r="G8" s="58">
        <v>5</v>
      </c>
      <c r="H8" s="58">
        <v>5</v>
      </c>
      <c r="I8" s="180"/>
      <c r="J8" s="180"/>
      <c r="K8" s="180"/>
      <c r="L8" s="180"/>
      <c r="M8" s="180"/>
      <c r="N8" s="270"/>
      <c r="O8" s="252" t="s">
        <v>565</v>
      </c>
      <c r="P8" s="271">
        <v>26</v>
      </c>
      <c r="Q8" s="271">
        <v>65</v>
      </c>
      <c r="R8" s="271">
        <v>39</v>
      </c>
      <c r="S8" s="272" t="s">
        <v>285</v>
      </c>
      <c r="T8" s="273"/>
      <c r="V8" s="275"/>
    </row>
    <row r="9" spans="1:24" s="274" customFormat="1" ht="52" x14ac:dyDescent="0.3">
      <c r="A9" s="269" t="s">
        <v>332</v>
      </c>
      <c r="B9" s="58"/>
      <c r="C9" s="58"/>
      <c r="D9" s="58"/>
      <c r="E9" s="58">
        <v>5</v>
      </c>
      <c r="F9" s="70">
        <v>7</v>
      </c>
      <c r="G9" s="58"/>
      <c r="H9" s="58"/>
      <c r="I9" s="180"/>
      <c r="J9" s="180"/>
      <c r="K9" s="180"/>
      <c r="L9" s="180"/>
      <c r="M9" s="180"/>
      <c r="N9" s="270"/>
      <c r="O9" s="252" t="s">
        <v>286</v>
      </c>
      <c r="P9" s="271">
        <v>78</v>
      </c>
      <c r="Q9" s="271">
        <v>88</v>
      </c>
      <c r="R9" s="271">
        <v>10</v>
      </c>
      <c r="S9" s="272">
        <v>5800</v>
      </c>
      <c r="T9" s="273"/>
      <c r="V9" s="275"/>
    </row>
    <row r="10" spans="1:24" s="274" customFormat="1" ht="52" x14ac:dyDescent="0.3">
      <c r="A10" s="269" t="s">
        <v>333</v>
      </c>
      <c r="B10" s="58"/>
      <c r="C10" s="58"/>
      <c r="D10" s="58"/>
      <c r="E10" s="58"/>
      <c r="F10" s="70"/>
      <c r="G10" s="58">
        <v>5</v>
      </c>
      <c r="H10" s="58">
        <v>5</v>
      </c>
      <c r="I10" s="180">
        <v>5</v>
      </c>
      <c r="J10" s="180">
        <v>5</v>
      </c>
      <c r="K10" s="180">
        <v>5</v>
      </c>
      <c r="L10" s="416">
        <v>5</v>
      </c>
      <c r="M10" s="416">
        <v>10</v>
      </c>
      <c r="N10" s="416">
        <v>10</v>
      </c>
      <c r="O10" s="252" t="s">
        <v>287</v>
      </c>
      <c r="P10" s="271">
        <v>88</v>
      </c>
      <c r="Q10" s="271">
        <v>208</v>
      </c>
      <c r="R10" s="271">
        <v>120</v>
      </c>
      <c r="S10" s="272" t="s">
        <v>288</v>
      </c>
      <c r="T10" s="275"/>
      <c r="V10" s="275"/>
    </row>
    <row r="11" spans="1:24" s="261" customFormat="1" ht="26" x14ac:dyDescent="0.3">
      <c r="A11" s="276" t="s">
        <v>64</v>
      </c>
      <c r="B11" s="277"/>
      <c r="C11" s="277"/>
      <c r="D11" s="277"/>
      <c r="E11" s="178"/>
      <c r="F11" s="178"/>
      <c r="G11" s="178"/>
      <c r="H11" s="178"/>
      <c r="I11" s="178"/>
      <c r="J11" s="178"/>
      <c r="K11" s="178"/>
      <c r="L11" s="178"/>
      <c r="M11" s="178"/>
      <c r="N11" s="278"/>
      <c r="O11" s="253"/>
      <c r="P11" s="72"/>
      <c r="Q11" s="72"/>
      <c r="R11" s="72"/>
      <c r="S11" s="72"/>
    </row>
    <row r="12" spans="1:24" s="281" customFormat="1" ht="39" x14ac:dyDescent="0.3">
      <c r="A12" s="408" t="s">
        <v>409</v>
      </c>
      <c r="B12" s="284"/>
      <c r="C12" s="284">
        <v>10</v>
      </c>
      <c r="D12" s="284">
        <v>40</v>
      </c>
      <c r="E12" s="58">
        <v>40</v>
      </c>
      <c r="F12" s="58">
        <v>40</v>
      </c>
      <c r="G12" s="279">
        <v>40</v>
      </c>
      <c r="H12" s="58"/>
      <c r="I12" s="58"/>
      <c r="J12" s="58"/>
      <c r="K12" s="58"/>
      <c r="L12" s="58"/>
      <c r="M12" s="58"/>
      <c r="N12" s="58"/>
      <c r="O12" s="252" t="s">
        <v>289</v>
      </c>
      <c r="P12" s="57">
        <v>40</v>
      </c>
      <c r="Q12" s="57">
        <v>85</v>
      </c>
      <c r="R12" s="57">
        <f>Q12-P12</f>
        <v>45</v>
      </c>
      <c r="S12" s="58">
        <v>7700</v>
      </c>
      <c r="T12" s="280" t="s">
        <v>290</v>
      </c>
    </row>
    <row r="13" spans="1:24" s="281" customFormat="1" x14ac:dyDescent="0.3">
      <c r="A13" s="269" t="s">
        <v>291</v>
      </c>
      <c r="B13" s="58"/>
      <c r="C13" s="58"/>
      <c r="D13" s="58"/>
      <c r="E13" s="70"/>
      <c r="F13" s="282"/>
      <c r="G13" s="58"/>
      <c r="H13" s="58"/>
      <c r="I13" s="58"/>
      <c r="J13" s="58">
        <v>10</v>
      </c>
      <c r="K13" s="58">
        <v>10</v>
      </c>
      <c r="L13" s="58"/>
      <c r="M13" s="58"/>
      <c r="N13" s="58"/>
      <c r="O13" s="252" t="s">
        <v>292</v>
      </c>
      <c r="P13" s="57">
        <v>92</v>
      </c>
      <c r="Q13" s="57">
        <v>102</v>
      </c>
      <c r="R13" s="57">
        <v>10</v>
      </c>
      <c r="S13" s="58">
        <v>7300</v>
      </c>
      <c r="T13" s="283"/>
    </row>
    <row r="14" spans="1:24" s="281" customFormat="1" ht="39" x14ac:dyDescent="0.3">
      <c r="A14" s="269" t="s">
        <v>293</v>
      </c>
      <c r="B14" s="284"/>
      <c r="C14" s="284"/>
      <c r="D14" s="284"/>
      <c r="E14" s="70"/>
      <c r="F14" s="282"/>
      <c r="G14" s="58">
        <v>5</v>
      </c>
      <c r="H14" s="58">
        <v>5</v>
      </c>
      <c r="I14" s="58">
        <v>5</v>
      </c>
      <c r="J14" s="58"/>
      <c r="K14" s="58"/>
      <c r="L14" s="58"/>
      <c r="M14" s="58"/>
      <c r="N14" s="58"/>
      <c r="O14" s="252" t="s">
        <v>294</v>
      </c>
      <c r="P14" s="57">
        <v>102</v>
      </c>
      <c r="Q14" s="57">
        <v>178</v>
      </c>
      <c r="R14" s="57">
        <f>Q14-P14</f>
        <v>76</v>
      </c>
      <c r="S14" s="58" t="s">
        <v>295</v>
      </c>
    </row>
    <row r="15" spans="1:24" s="281" customFormat="1" ht="26" x14ac:dyDescent="0.3">
      <c r="A15" s="269" t="s">
        <v>296</v>
      </c>
      <c r="B15" s="284"/>
      <c r="C15" s="284"/>
      <c r="D15" s="284"/>
      <c r="E15" s="70"/>
      <c r="F15" s="282"/>
      <c r="G15" s="58"/>
      <c r="H15" s="58"/>
      <c r="I15" s="58"/>
      <c r="J15" s="58"/>
      <c r="K15" s="58"/>
      <c r="L15" s="284">
        <v>10</v>
      </c>
      <c r="M15" s="58"/>
      <c r="N15" s="58"/>
      <c r="O15" s="252" t="s">
        <v>297</v>
      </c>
      <c r="P15" s="57">
        <v>109</v>
      </c>
      <c r="Q15" s="57">
        <v>112</v>
      </c>
      <c r="R15" s="57">
        <v>3</v>
      </c>
      <c r="S15" s="58">
        <v>6400</v>
      </c>
    </row>
    <row r="16" spans="1:24" s="281" customFormat="1" ht="26" x14ac:dyDescent="0.3">
      <c r="A16" s="269" t="s">
        <v>298</v>
      </c>
      <c r="B16" s="284"/>
      <c r="C16" s="284"/>
      <c r="D16" s="284"/>
      <c r="E16" s="70"/>
      <c r="F16" s="282"/>
      <c r="G16" s="58"/>
      <c r="H16" s="58"/>
      <c r="I16" s="58"/>
      <c r="J16" s="58"/>
      <c r="K16" s="58"/>
      <c r="L16" s="58"/>
      <c r="M16" s="58"/>
      <c r="N16" s="284">
        <v>15</v>
      </c>
      <c r="O16" s="252" t="s">
        <v>299</v>
      </c>
      <c r="P16" s="57">
        <v>116</v>
      </c>
      <c r="Q16" s="57">
        <v>124</v>
      </c>
      <c r="R16" s="57">
        <v>8</v>
      </c>
      <c r="S16" s="58">
        <v>6400</v>
      </c>
    </row>
    <row r="17" spans="1:21" s="281" customFormat="1" x14ac:dyDescent="0.3">
      <c r="A17" s="269" t="s">
        <v>300</v>
      </c>
      <c r="B17" s="284"/>
      <c r="C17" s="284"/>
      <c r="D17" s="284"/>
      <c r="E17" s="70"/>
      <c r="F17" s="285"/>
      <c r="G17" s="58"/>
      <c r="H17" s="58"/>
      <c r="I17" s="58"/>
      <c r="J17" s="58">
        <v>10</v>
      </c>
      <c r="K17" s="58">
        <v>5</v>
      </c>
      <c r="L17" s="58"/>
      <c r="M17" s="58"/>
      <c r="N17" s="58"/>
      <c r="O17" s="252" t="s">
        <v>301</v>
      </c>
      <c r="P17" s="57">
        <v>126</v>
      </c>
      <c r="Q17" s="57">
        <v>132</v>
      </c>
      <c r="R17" s="57">
        <v>8</v>
      </c>
      <c r="S17" s="58">
        <v>6200</v>
      </c>
    </row>
    <row r="18" spans="1:21" s="281" customFormat="1" ht="26" x14ac:dyDescent="0.3">
      <c r="A18" s="269" t="s">
        <v>302</v>
      </c>
      <c r="B18" s="284"/>
      <c r="C18" s="284"/>
      <c r="D18" s="284"/>
      <c r="E18" s="58"/>
      <c r="F18" s="289"/>
      <c r="G18" s="58"/>
      <c r="H18" s="58"/>
      <c r="I18" s="58"/>
      <c r="J18" s="58"/>
      <c r="K18" s="58"/>
      <c r="L18" s="284">
        <v>10</v>
      </c>
      <c r="M18" s="58"/>
      <c r="N18" s="58"/>
      <c r="O18" s="252" t="s">
        <v>297</v>
      </c>
      <c r="P18" s="57">
        <v>178</v>
      </c>
      <c r="Q18" s="57">
        <v>180</v>
      </c>
      <c r="R18" s="57">
        <v>2</v>
      </c>
      <c r="S18" s="58">
        <v>6300</v>
      </c>
    </row>
    <row r="19" spans="1:21" s="281" customFormat="1" ht="39" x14ac:dyDescent="0.3">
      <c r="A19" s="269" t="s">
        <v>334</v>
      </c>
      <c r="B19" s="58"/>
      <c r="C19" s="58"/>
      <c r="D19" s="58"/>
      <c r="E19" s="58">
        <v>4</v>
      </c>
      <c r="F19" s="58"/>
      <c r="G19" s="284"/>
      <c r="H19" s="284"/>
      <c r="I19" s="284"/>
      <c r="J19" s="284"/>
      <c r="K19" s="284"/>
      <c r="L19" s="284"/>
      <c r="M19" s="58"/>
      <c r="N19" s="58"/>
      <c r="O19" s="252" t="s">
        <v>303</v>
      </c>
      <c r="P19" s="57">
        <v>184.1</v>
      </c>
      <c r="Q19" s="57">
        <v>185.9</v>
      </c>
      <c r="R19" s="57">
        <f>Q19-P19</f>
        <v>1.8000000000000114</v>
      </c>
      <c r="S19" s="58">
        <v>12000</v>
      </c>
      <c r="U19" s="281" t="s">
        <v>73</v>
      </c>
    </row>
    <row r="20" spans="1:21" s="281" customFormat="1" ht="26" x14ac:dyDescent="0.3">
      <c r="A20" s="269" t="s">
        <v>304</v>
      </c>
      <c r="B20" s="58"/>
      <c r="C20" s="58"/>
      <c r="D20" s="58"/>
      <c r="E20" s="70"/>
      <c r="F20" s="70"/>
      <c r="G20" s="284"/>
      <c r="H20" s="284"/>
      <c r="I20" s="284"/>
      <c r="J20" s="284"/>
      <c r="K20" s="284"/>
      <c r="L20" s="284">
        <v>10</v>
      </c>
      <c r="M20" s="284">
        <v>5</v>
      </c>
      <c r="N20" s="58"/>
      <c r="O20" s="252" t="s">
        <v>305</v>
      </c>
      <c r="P20" s="57">
        <v>192</v>
      </c>
      <c r="Q20" s="57">
        <v>194.2</v>
      </c>
      <c r="R20" s="57">
        <v>2.2000000000000002</v>
      </c>
      <c r="S20" s="58">
        <v>9000</v>
      </c>
    </row>
    <row r="21" spans="1:21" s="281" customFormat="1" x14ac:dyDescent="0.3">
      <c r="A21" s="269" t="s">
        <v>306</v>
      </c>
      <c r="B21" s="286"/>
      <c r="C21" s="286"/>
      <c r="D21" s="286"/>
      <c r="E21" s="58"/>
      <c r="F21" s="70"/>
      <c r="G21" s="284"/>
      <c r="H21" s="284"/>
      <c r="I21" s="284"/>
      <c r="J21" s="284"/>
      <c r="K21" s="284"/>
      <c r="L21" s="284"/>
      <c r="M21" s="284">
        <v>5</v>
      </c>
      <c r="N21" s="284">
        <v>5</v>
      </c>
      <c r="O21" s="252" t="s">
        <v>307</v>
      </c>
      <c r="P21" s="57">
        <v>194.2</v>
      </c>
      <c r="Q21" s="57">
        <v>201</v>
      </c>
      <c r="R21" s="57">
        <v>6.8</v>
      </c>
      <c r="S21" s="57" t="s">
        <v>308</v>
      </c>
    </row>
    <row r="22" spans="1:21" s="261" customFormat="1" ht="26" x14ac:dyDescent="0.3">
      <c r="A22" s="276" t="s">
        <v>76</v>
      </c>
      <c r="B22" s="277"/>
      <c r="C22" s="277"/>
      <c r="D22" s="277"/>
      <c r="E22" s="178"/>
      <c r="F22" s="178"/>
      <c r="G22" s="178"/>
      <c r="H22" s="178"/>
      <c r="I22" s="178"/>
      <c r="J22" s="178"/>
      <c r="K22" s="178"/>
      <c r="L22" s="178"/>
      <c r="M22" s="178"/>
      <c r="N22" s="278"/>
      <c r="O22" s="253"/>
      <c r="P22" s="72"/>
      <c r="Q22" s="72"/>
      <c r="R22" s="72"/>
      <c r="S22" s="72"/>
    </row>
    <row r="23" spans="1:21" s="261" customFormat="1" ht="26" x14ac:dyDescent="0.3">
      <c r="A23" s="287" t="s">
        <v>309</v>
      </c>
      <c r="B23" s="288"/>
      <c r="C23" s="288"/>
      <c r="D23" s="288"/>
      <c r="E23" s="70"/>
      <c r="F23" s="70"/>
      <c r="G23" s="70"/>
      <c r="H23" s="70"/>
      <c r="I23" s="70">
        <v>5</v>
      </c>
      <c r="J23" s="70">
        <v>5</v>
      </c>
      <c r="K23" s="70">
        <v>10</v>
      </c>
      <c r="L23" s="70"/>
      <c r="M23" s="70"/>
      <c r="N23" s="70"/>
      <c r="O23" s="254" t="s">
        <v>310</v>
      </c>
      <c r="P23" s="71">
        <v>138.69999999999999</v>
      </c>
      <c r="Q23" s="71">
        <v>148</v>
      </c>
      <c r="R23" s="71">
        <v>9.3000000000000007</v>
      </c>
      <c r="S23" s="71" t="s">
        <v>311</v>
      </c>
    </row>
    <row r="24" spans="1:21" s="261" customFormat="1" ht="26" x14ac:dyDescent="0.3">
      <c r="A24" s="276" t="s">
        <v>77</v>
      </c>
      <c r="B24" s="277"/>
      <c r="C24" s="277"/>
      <c r="D24" s="277"/>
      <c r="E24" s="178"/>
      <c r="F24" s="178"/>
      <c r="G24" s="178"/>
      <c r="H24" s="178"/>
      <c r="I24" s="178"/>
      <c r="J24" s="178"/>
      <c r="K24" s="178"/>
      <c r="L24" s="178"/>
      <c r="M24" s="178"/>
      <c r="N24" s="278"/>
      <c r="O24" s="253"/>
      <c r="P24" s="72"/>
      <c r="Q24" s="72"/>
      <c r="R24" s="72"/>
      <c r="S24" s="178"/>
    </row>
    <row r="25" spans="1:21" s="281" customFormat="1" ht="52" x14ac:dyDescent="0.3">
      <c r="A25" s="269" t="s">
        <v>312</v>
      </c>
      <c r="B25" s="58"/>
      <c r="C25" s="58"/>
      <c r="D25" s="58"/>
      <c r="E25" s="58">
        <v>5</v>
      </c>
      <c r="F25" s="70">
        <v>5</v>
      </c>
      <c r="G25" s="58">
        <v>5</v>
      </c>
      <c r="H25" s="58">
        <v>5</v>
      </c>
      <c r="I25" s="289">
        <v>5</v>
      </c>
      <c r="J25" s="289">
        <v>5</v>
      </c>
      <c r="K25" s="289"/>
      <c r="L25" s="289"/>
      <c r="M25" s="289"/>
      <c r="N25" s="58"/>
      <c r="O25" s="252" t="s">
        <v>313</v>
      </c>
      <c r="P25" s="57">
        <v>42</v>
      </c>
      <c r="Q25" s="57">
        <v>119</v>
      </c>
      <c r="R25" s="57">
        <v>50</v>
      </c>
      <c r="S25" s="58" t="s">
        <v>314</v>
      </c>
    </row>
    <row r="26" spans="1:21" s="281" customFormat="1" ht="26" x14ac:dyDescent="0.3">
      <c r="A26" s="269" t="s">
        <v>315</v>
      </c>
      <c r="B26" s="58"/>
      <c r="C26" s="58"/>
      <c r="D26" s="58"/>
      <c r="E26" s="58"/>
      <c r="F26" s="70"/>
      <c r="G26" s="58">
        <v>5</v>
      </c>
      <c r="H26" s="58">
        <v>10</v>
      </c>
      <c r="I26" s="289"/>
      <c r="J26" s="180"/>
      <c r="K26" s="289"/>
      <c r="L26" s="289"/>
      <c r="M26" s="289"/>
      <c r="N26" s="58"/>
      <c r="O26" s="252" t="s">
        <v>316</v>
      </c>
      <c r="P26" s="57">
        <v>92</v>
      </c>
      <c r="Q26" s="57">
        <v>99</v>
      </c>
      <c r="R26" s="57">
        <v>7</v>
      </c>
      <c r="S26" s="58">
        <v>7300</v>
      </c>
    </row>
    <row r="27" spans="1:21" s="281" customFormat="1" ht="26" x14ac:dyDescent="0.3">
      <c r="A27" s="269" t="s">
        <v>317</v>
      </c>
      <c r="B27" s="58"/>
      <c r="C27" s="58"/>
      <c r="D27" s="58"/>
      <c r="E27" s="58"/>
      <c r="F27" s="70"/>
      <c r="G27" s="58"/>
      <c r="H27" s="58">
        <v>5</v>
      </c>
      <c r="I27" s="180">
        <v>10</v>
      </c>
      <c r="J27" s="289"/>
      <c r="K27" s="180"/>
      <c r="L27" s="180"/>
      <c r="M27" s="289"/>
      <c r="N27" s="58"/>
      <c r="O27" s="255" t="s">
        <v>318</v>
      </c>
      <c r="P27" s="57">
        <v>107.9</v>
      </c>
      <c r="Q27" s="57">
        <v>115.2</v>
      </c>
      <c r="R27" s="57">
        <f>Q27-P27</f>
        <v>7.2999999999999972</v>
      </c>
      <c r="S27" s="58">
        <v>7300</v>
      </c>
    </row>
    <row r="28" spans="1:21" s="281" customFormat="1" ht="26" x14ac:dyDescent="0.3">
      <c r="A28" s="269" t="s">
        <v>319</v>
      </c>
      <c r="B28" s="58"/>
      <c r="C28" s="58"/>
      <c r="D28" s="58"/>
      <c r="E28" s="70">
        <v>5</v>
      </c>
      <c r="F28" s="70">
        <v>5</v>
      </c>
      <c r="G28" s="180"/>
      <c r="H28" s="58"/>
      <c r="I28" s="58"/>
      <c r="J28" s="58"/>
      <c r="K28" s="58"/>
      <c r="L28" s="58"/>
      <c r="M28" s="58"/>
      <c r="N28" s="58"/>
      <c r="O28" s="252" t="s">
        <v>320</v>
      </c>
      <c r="P28" s="57">
        <v>134</v>
      </c>
      <c r="Q28" s="57">
        <v>141</v>
      </c>
      <c r="R28" s="57">
        <f>Q28-P28</f>
        <v>7</v>
      </c>
      <c r="S28" s="58">
        <v>8500</v>
      </c>
    </row>
    <row r="29" spans="1:21" s="261" customFormat="1" ht="26" x14ac:dyDescent="0.3">
      <c r="A29" s="276" t="s">
        <v>87</v>
      </c>
      <c r="B29" s="277"/>
      <c r="C29" s="277"/>
      <c r="D29" s="277"/>
      <c r="E29" s="178"/>
      <c r="F29" s="178"/>
      <c r="G29" s="178"/>
      <c r="H29" s="178"/>
      <c r="I29" s="178"/>
      <c r="J29" s="178"/>
      <c r="K29" s="178"/>
      <c r="L29" s="178"/>
      <c r="M29" s="178"/>
      <c r="N29" s="278"/>
      <c r="O29" s="253"/>
      <c r="P29" s="72"/>
      <c r="Q29" s="72"/>
      <c r="R29" s="72"/>
      <c r="S29" s="72"/>
    </row>
    <row r="30" spans="1:21" s="261" customFormat="1" ht="26" x14ac:dyDescent="0.3">
      <c r="A30" s="276" t="s">
        <v>90</v>
      </c>
      <c r="B30" s="277"/>
      <c r="C30" s="277"/>
      <c r="D30" s="277"/>
      <c r="E30" s="178"/>
      <c r="F30" s="178"/>
      <c r="G30" s="178"/>
      <c r="H30" s="178"/>
      <c r="I30" s="178"/>
      <c r="J30" s="178"/>
      <c r="K30" s="178"/>
      <c r="L30" s="178"/>
      <c r="M30" s="178"/>
      <c r="N30" s="278"/>
      <c r="O30" s="253"/>
      <c r="P30" s="72"/>
      <c r="Q30" s="72"/>
      <c r="R30" s="72"/>
      <c r="S30" s="72"/>
    </row>
    <row r="31" spans="1:21" s="281" customFormat="1" ht="39" x14ac:dyDescent="0.3">
      <c r="A31" s="269" t="s">
        <v>321</v>
      </c>
      <c r="B31" s="58"/>
      <c r="C31" s="58"/>
      <c r="D31" s="58"/>
      <c r="E31" s="58">
        <v>10</v>
      </c>
      <c r="F31" s="180">
        <v>10</v>
      </c>
      <c r="G31" s="58"/>
      <c r="H31" s="58"/>
      <c r="I31" s="58"/>
      <c r="J31" s="58"/>
      <c r="K31" s="58"/>
      <c r="L31" s="58"/>
      <c r="M31" s="58"/>
      <c r="N31" s="58"/>
      <c r="O31" s="252" t="s">
        <v>322</v>
      </c>
      <c r="P31" s="57">
        <v>11</v>
      </c>
      <c r="Q31" s="57">
        <v>14</v>
      </c>
      <c r="R31" s="57">
        <f>Q31-P31</f>
        <v>3</v>
      </c>
      <c r="S31" s="58">
        <v>14000</v>
      </c>
    </row>
    <row r="32" spans="1:21" s="281" customFormat="1" ht="39" x14ac:dyDescent="0.3">
      <c r="A32" s="269" t="s">
        <v>335</v>
      </c>
      <c r="B32" s="284"/>
      <c r="C32" s="284"/>
      <c r="D32" s="284"/>
      <c r="E32" s="290"/>
      <c r="F32" s="282"/>
      <c r="G32" s="58"/>
      <c r="H32" s="58"/>
      <c r="I32" s="58">
        <v>5</v>
      </c>
      <c r="J32" s="58">
        <v>5</v>
      </c>
      <c r="K32" s="58">
        <v>5</v>
      </c>
      <c r="L32" s="284">
        <v>5</v>
      </c>
      <c r="M32" s="284">
        <v>10</v>
      </c>
      <c r="N32" s="58"/>
      <c r="O32" s="252" t="s">
        <v>323</v>
      </c>
      <c r="P32" s="57">
        <v>14</v>
      </c>
      <c r="Q32" s="57">
        <v>46.8</v>
      </c>
      <c r="R32" s="57">
        <v>32.799999999999997</v>
      </c>
      <c r="S32" s="58" t="s">
        <v>324</v>
      </c>
    </row>
    <row r="33" spans="1:255" s="261" customFormat="1" ht="26" x14ac:dyDescent="0.3">
      <c r="A33" s="276" t="s">
        <v>92</v>
      </c>
      <c r="B33" s="277"/>
      <c r="C33" s="277"/>
      <c r="D33" s="277"/>
      <c r="E33" s="178"/>
      <c r="F33" s="178"/>
      <c r="G33" s="178"/>
      <c r="H33" s="178"/>
      <c r="I33" s="178"/>
      <c r="J33" s="178"/>
      <c r="K33" s="178"/>
      <c r="L33" s="178"/>
      <c r="M33" s="178"/>
      <c r="N33" s="278"/>
      <c r="O33" s="253"/>
      <c r="P33" s="291"/>
      <c r="Q33" s="291"/>
      <c r="R33" s="291"/>
      <c r="S33" s="291"/>
    </row>
    <row r="34" spans="1:255" s="261" customFormat="1" ht="26" x14ac:dyDescent="0.3">
      <c r="A34" s="276" t="s">
        <v>93</v>
      </c>
      <c r="B34" s="277"/>
      <c r="C34" s="277"/>
      <c r="D34" s="277"/>
      <c r="E34" s="178"/>
      <c r="F34" s="178"/>
      <c r="G34" s="178"/>
      <c r="H34" s="178"/>
      <c r="I34" s="178"/>
      <c r="J34" s="178"/>
      <c r="K34" s="178"/>
      <c r="L34" s="178"/>
      <c r="M34" s="178"/>
      <c r="N34" s="278"/>
      <c r="O34" s="253"/>
      <c r="P34" s="278"/>
      <c r="Q34" s="278"/>
      <c r="R34" s="278"/>
      <c r="S34" s="291"/>
    </row>
    <row r="35" spans="1:255" s="281" customFormat="1" ht="26" x14ac:dyDescent="0.3">
      <c r="A35" s="276" t="s">
        <v>94</v>
      </c>
      <c r="B35" s="277"/>
      <c r="C35" s="277"/>
      <c r="D35" s="277"/>
      <c r="E35" s="178"/>
      <c r="F35" s="178"/>
      <c r="G35" s="178"/>
      <c r="H35" s="178"/>
      <c r="I35" s="178"/>
      <c r="J35" s="178"/>
      <c r="K35" s="178"/>
      <c r="L35" s="178"/>
      <c r="M35" s="178"/>
      <c r="N35" s="278"/>
      <c r="O35" s="253"/>
      <c r="P35" s="278"/>
      <c r="Q35" s="278"/>
      <c r="R35" s="278"/>
      <c r="S35" s="72"/>
    </row>
    <row r="36" spans="1:255" s="281" customFormat="1" ht="39" x14ac:dyDescent="0.3">
      <c r="A36" s="269" t="s">
        <v>336</v>
      </c>
      <c r="B36" s="409"/>
      <c r="C36" s="58"/>
      <c r="D36" s="58"/>
      <c r="E36" s="292"/>
      <c r="F36" s="58"/>
      <c r="G36" s="58"/>
      <c r="H36" s="58"/>
      <c r="I36" s="58"/>
      <c r="J36" s="58"/>
      <c r="K36" s="58"/>
      <c r="L36" s="58"/>
      <c r="M36" s="58"/>
      <c r="N36" s="58"/>
      <c r="O36" s="420" t="s">
        <v>325</v>
      </c>
      <c r="P36" s="57">
        <v>20</v>
      </c>
      <c r="Q36" s="57">
        <v>24.1</v>
      </c>
      <c r="R36" s="57">
        <v>4.0999999999999996</v>
      </c>
      <c r="S36" s="58" t="s">
        <v>337</v>
      </c>
      <c r="T36" s="162" t="s">
        <v>326</v>
      </c>
    </row>
    <row r="37" spans="1:255" s="281" customFormat="1" ht="39" x14ac:dyDescent="0.3">
      <c r="A37" s="293" t="s">
        <v>338</v>
      </c>
      <c r="B37" s="65"/>
      <c r="C37" s="65"/>
      <c r="D37" s="65"/>
      <c r="E37" s="65"/>
      <c r="F37" s="294"/>
      <c r="G37" s="65">
        <v>10</v>
      </c>
      <c r="H37" s="65">
        <v>5</v>
      </c>
      <c r="I37" s="295">
        <v>5</v>
      </c>
      <c r="J37" s="295"/>
      <c r="K37" s="295"/>
      <c r="L37" s="295"/>
      <c r="M37" s="295"/>
      <c r="N37" s="65"/>
      <c r="O37" s="252" t="s">
        <v>327</v>
      </c>
      <c r="P37" s="57">
        <v>32.5</v>
      </c>
      <c r="Q37" s="57">
        <v>37.799999999999997</v>
      </c>
      <c r="R37" s="57">
        <f>Q37-P37</f>
        <v>5.2999999999999972</v>
      </c>
      <c r="S37" s="58">
        <v>8200</v>
      </c>
    </row>
    <row r="38" spans="1:255" s="428" customFormat="1" ht="39.5" thickBot="1" x14ac:dyDescent="0.35">
      <c r="A38" s="296" t="s">
        <v>328</v>
      </c>
      <c r="B38" s="421"/>
      <c r="C38" s="422"/>
      <c r="D38" s="422">
        <v>2</v>
      </c>
      <c r="E38" s="422"/>
      <c r="F38" s="422"/>
      <c r="G38" s="422"/>
      <c r="H38" s="422"/>
      <c r="I38" s="423"/>
      <c r="J38" s="423"/>
      <c r="K38" s="423"/>
      <c r="L38" s="423"/>
      <c r="M38" s="423"/>
      <c r="N38" s="424"/>
      <c r="O38" s="425" t="s">
        <v>329</v>
      </c>
      <c r="P38" s="426">
        <v>2.6</v>
      </c>
      <c r="Q38" s="426">
        <v>4.0999999999999996</v>
      </c>
      <c r="R38" s="426">
        <v>1.5</v>
      </c>
      <c r="S38" s="427">
        <v>15500</v>
      </c>
    </row>
    <row r="39" spans="1:255" s="281" customFormat="1" ht="13.5" thickBot="1" x14ac:dyDescent="0.35">
      <c r="A39" s="297" t="s">
        <v>330</v>
      </c>
      <c r="B39" s="298">
        <f>SUM(B7:B38)</f>
        <v>0</v>
      </c>
      <c r="C39" s="298">
        <f>SUM(C7:C38)</f>
        <v>10</v>
      </c>
      <c r="D39" s="298">
        <f>SUM(D7:D38)</f>
        <v>42</v>
      </c>
      <c r="E39" s="298">
        <f t="shared" ref="E39:N39" si="1">SUM(E7:E38)</f>
        <v>74</v>
      </c>
      <c r="F39" s="298">
        <f t="shared" si="1"/>
        <v>77</v>
      </c>
      <c r="G39" s="298">
        <f t="shared" si="1"/>
        <v>85</v>
      </c>
      <c r="H39" s="298">
        <f t="shared" si="1"/>
        <v>40</v>
      </c>
      <c r="I39" s="298">
        <f t="shared" si="1"/>
        <v>40</v>
      </c>
      <c r="J39" s="298">
        <f t="shared" si="1"/>
        <v>40</v>
      </c>
      <c r="K39" s="298">
        <f t="shared" si="1"/>
        <v>35</v>
      </c>
      <c r="L39" s="298">
        <f t="shared" si="1"/>
        <v>40</v>
      </c>
      <c r="M39" s="298">
        <f t="shared" si="1"/>
        <v>30</v>
      </c>
      <c r="N39" s="298">
        <f t="shared" si="1"/>
        <v>30</v>
      </c>
      <c r="O39" s="299"/>
      <c r="P39" s="57"/>
      <c r="Q39" s="57"/>
      <c r="R39" s="57"/>
      <c r="S39" s="58"/>
    </row>
    <row r="40" spans="1:255" x14ac:dyDescent="0.3">
      <c r="A40" s="300"/>
      <c r="B40" s="301"/>
      <c r="C40" s="301"/>
      <c r="D40" s="301"/>
      <c r="E40" s="301"/>
      <c r="F40" s="302"/>
      <c r="G40" s="301"/>
      <c r="H40" s="301"/>
      <c r="I40" s="301"/>
      <c r="J40" s="301"/>
      <c r="K40" s="301"/>
      <c r="L40" s="301"/>
      <c r="M40" s="301"/>
      <c r="N40" s="301"/>
      <c r="O40" s="303"/>
    </row>
    <row r="41" spans="1:255" x14ac:dyDescent="0.3">
      <c r="A41" s="300"/>
      <c r="B41" s="301"/>
      <c r="C41" s="301"/>
      <c r="D41" s="301"/>
      <c r="E41" s="301"/>
      <c r="F41" s="302"/>
      <c r="G41" s="301"/>
      <c r="H41" s="301"/>
      <c r="I41" s="301"/>
      <c r="J41" s="301"/>
      <c r="K41" s="301"/>
      <c r="L41" s="301"/>
      <c r="M41" s="301"/>
      <c r="N41" s="301"/>
      <c r="O41" s="303"/>
    </row>
    <row r="42" spans="1:255" x14ac:dyDescent="0.3">
      <c r="A42" s="300"/>
      <c r="B42" s="301"/>
      <c r="C42" s="301"/>
      <c r="D42" s="301"/>
      <c r="E42" s="301"/>
      <c r="F42" s="302"/>
      <c r="G42" s="301"/>
      <c r="H42" s="301"/>
      <c r="I42" s="301"/>
      <c r="J42" s="301"/>
      <c r="K42" s="301"/>
      <c r="L42" s="301"/>
      <c r="M42" s="301"/>
      <c r="N42" s="301"/>
      <c r="O42" s="303"/>
    </row>
    <row r="43" spans="1:255" s="261" customFormat="1" x14ac:dyDescent="0.3">
      <c r="A43" s="300"/>
      <c r="B43" s="301"/>
      <c r="C43" s="301"/>
      <c r="D43" s="301"/>
      <c r="E43" s="301"/>
      <c r="F43" s="302"/>
      <c r="G43" s="301"/>
      <c r="H43" s="301"/>
      <c r="I43" s="301"/>
      <c r="J43" s="301"/>
      <c r="K43" s="301"/>
      <c r="L43" s="301"/>
      <c r="M43" s="301"/>
      <c r="N43" s="301"/>
      <c r="O43" s="303"/>
      <c r="T43" s="217"/>
      <c r="U43" s="217"/>
      <c r="V43" s="217"/>
      <c r="W43" s="217"/>
      <c r="X43" s="217"/>
      <c r="Y43" s="217"/>
      <c r="Z43" s="217"/>
      <c r="AA43" s="217"/>
      <c r="AB43" s="217"/>
      <c r="AC43" s="217"/>
      <c r="AD43" s="217"/>
      <c r="AE43" s="217"/>
      <c r="AF43" s="217"/>
      <c r="AG43" s="217"/>
      <c r="AH43" s="217"/>
      <c r="AI43" s="217"/>
      <c r="AJ43" s="217"/>
      <c r="AK43" s="217"/>
      <c r="AL43" s="217"/>
      <c r="AM43" s="217"/>
      <c r="AN43" s="217"/>
      <c r="AO43" s="217"/>
      <c r="AP43" s="217"/>
      <c r="AQ43" s="217"/>
      <c r="AR43" s="217"/>
      <c r="AS43" s="217"/>
      <c r="AT43" s="217"/>
      <c r="AU43" s="217"/>
      <c r="AV43" s="217"/>
      <c r="AW43" s="217"/>
      <c r="AX43" s="217"/>
      <c r="AY43" s="217"/>
      <c r="AZ43" s="217"/>
      <c r="BA43" s="217"/>
      <c r="BB43" s="217"/>
      <c r="BC43" s="217"/>
      <c r="BD43" s="217"/>
      <c r="BE43" s="217"/>
      <c r="BF43" s="217"/>
      <c r="BG43" s="217"/>
      <c r="BH43" s="217"/>
      <c r="BI43" s="217"/>
      <c r="BJ43" s="217"/>
      <c r="BK43" s="217"/>
      <c r="BL43" s="217"/>
      <c r="BM43" s="217"/>
      <c r="BN43" s="217"/>
      <c r="BO43" s="217"/>
      <c r="BP43" s="217"/>
      <c r="BQ43" s="217"/>
      <c r="BR43" s="217"/>
      <c r="BS43" s="217"/>
      <c r="BT43" s="217"/>
      <c r="BU43" s="217"/>
      <c r="BV43" s="217"/>
      <c r="BW43" s="217"/>
      <c r="BX43" s="217"/>
      <c r="BY43" s="217"/>
      <c r="BZ43" s="217"/>
      <c r="CA43" s="217"/>
      <c r="CB43" s="217"/>
      <c r="CC43" s="217"/>
      <c r="CD43" s="217"/>
      <c r="CE43" s="217"/>
      <c r="CF43" s="217"/>
      <c r="CG43" s="217"/>
      <c r="CH43" s="217"/>
      <c r="CI43" s="217"/>
      <c r="CJ43" s="217"/>
      <c r="CK43" s="217"/>
      <c r="CL43" s="217"/>
      <c r="CM43" s="217"/>
      <c r="CN43" s="217"/>
      <c r="CO43" s="217"/>
      <c r="CP43" s="217"/>
      <c r="CQ43" s="217"/>
      <c r="CR43" s="217"/>
      <c r="CS43" s="217"/>
      <c r="CT43" s="217"/>
      <c r="CU43" s="217"/>
      <c r="CV43" s="217"/>
      <c r="CW43" s="217"/>
      <c r="CX43" s="217"/>
      <c r="CY43" s="217"/>
      <c r="CZ43" s="217"/>
      <c r="DA43" s="217"/>
      <c r="DB43" s="217"/>
      <c r="DC43" s="217"/>
      <c r="DD43" s="217"/>
      <c r="DE43" s="217"/>
      <c r="DF43" s="217"/>
      <c r="DG43" s="217"/>
      <c r="DH43" s="217"/>
      <c r="DI43" s="217"/>
      <c r="DJ43" s="217"/>
      <c r="DK43" s="217"/>
      <c r="DL43" s="217"/>
      <c r="DM43" s="217"/>
      <c r="DN43" s="217"/>
      <c r="DO43" s="217"/>
      <c r="DP43" s="217"/>
      <c r="DQ43" s="217"/>
      <c r="DR43" s="217"/>
      <c r="DS43" s="217"/>
      <c r="DT43" s="217"/>
      <c r="DU43" s="217"/>
      <c r="DV43" s="217"/>
      <c r="DW43" s="217"/>
      <c r="DX43" s="217"/>
      <c r="DY43" s="217"/>
      <c r="DZ43" s="217"/>
      <c r="EA43" s="217"/>
      <c r="EB43" s="217"/>
      <c r="EC43" s="217"/>
      <c r="ED43" s="217"/>
      <c r="EE43" s="217"/>
      <c r="EF43" s="217"/>
      <c r="EG43" s="217"/>
      <c r="EH43" s="217"/>
      <c r="EI43" s="217"/>
      <c r="EJ43" s="217"/>
      <c r="EK43" s="217"/>
      <c r="EL43" s="217"/>
      <c r="EM43" s="217"/>
      <c r="EN43" s="217"/>
      <c r="EO43" s="217"/>
      <c r="EP43" s="217"/>
      <c r="EQ43" s="217"/>
      <c r="ER43" s="217"/>
      <c r="ES43" s="217"/>
      <c r="ET43" s="217"/>
      <c r="EU43" s="217"/>
      <c r="EV43" s="217"/>
      <c r="EW43" s="217"/>
      <c r="EX43" s="217"/>
      <c r="EY43" s="217"/>
      <c r="EZ43" s="217"/>
      <c r="FA43" s="217"/>
      <c r="FB43" s="217"/>
      <c r="FC43" s="217"/>
      <c r="FD43" s="217"/>
      <c r="FE43" s="217"/>
      <c r="FF43" s="217"/>
      <c r="FG43" s="217"/>
      <c r="FH43" s="217"/>
      <c r="FI43" s="217"/>
      <c r="FJ43" s="217"/>
      <c r="FK43" s="217"/>
      <c r="FL43" s="217"/>
      <c r="FM43" s="217"/>
      <c r="FN43" s="217"/>
      <c r="FO43" s="217"/>
      <c r="FP43" s="217"/>
      <c r="FQ43" s="217"/>
      <c r="FR43" s="217"/>
      <c r="FS43" s="217"/>
      <c r="FT43" s="217"/>
      <c r="FU43" s="217"/>
      <c r="FV43" s="217"/>
      <c r="FW43" s="217"/>
      <c r="FX43" s="217"/>
      <c r="FY43" s="217"/>
      <c r="FZ43" s="217"/>
      <c r="GA43" s="217"/>
      <c r="GB43" s="217"/>
      <c r="GC43" s="217"/>
      <c r="GD43" s="217"/>
      <c r="GE43" s="217"/>
      <c r="GF43" s="217"/>
      <c r="GG43" s="217"/>
      <c r="GH43" s="217"/>
      <c r="GI43" s="217"/>
      <c r="GJ43" s="217"/>
      <c r="GK43" s="217"/>
      <c r="GL43" s="217"/>
      <c r="GM43" s="217"/>
      <c r="GN43" s="217"/>
      <c r="GO43" s="217"/>
      <c r="GP43" s="217"/>
      <c r="GQ43" s="217"/>
      <c r="GR43" s="217"/>
      <c r="GS43" s="217"/>
      <c r="GT43" s="217"/>
      <c r="GU43" s="217"/>
      <c r="GV43" s="217"/>
      <c r="GW43" s="217"/>
      <c r="GX43" s="217"/>
      <c r="GY43" s="217"/>
      <c r="GZ43" s="217"/>
      <c r="HA43" s="217"/>
      <c r="HB43" s="217"/>
      <c r="HC43" s="217"/>
      <c r="HD43" s="217"/>
      <c r="HE43" s="217"/>
      <c r="HF43" s="217"/>
      <c r="HG43" s="217"/>
      <c r="HH43" s="217"/>
      <c r="HI43" s="217"/>
      <c r="HJ43" s="217"/>
      <c r="HK43" s="217"/>
      <c r="HL43" s="217"/>
      <c r="HM43" s="217"/>
      <c r="HN43" s="217"/>
      <c r="HO43" s="217"/>
      <c r="HP43" s="217"/>
      <c r="HQ43" s="217"/>
      <c r="HR43" s="217"/>
      <c r="HS43" s="217"/>
      <c r="HT43" s="217"/>
      <c r="HU43" s="217"/>
      <c r="HV43" s="217"/>
      <c r="HW43" s="217"/>
      <c r="HX43" s="217"/>
      <c r="HY43" s="217"/>
      <c r="HZ43" s="217"/>
      <c r="IA43" s="217"/>
      <c r="IB43" s="217"/>
      <c r="IC43" s="217"/>
      <c r="ID43" s="217"/>
      <c r="IE43" s="217"/>
      <c r="IF43" s="217"/>
      <c r="IG43" s="217"/>
      <c r="IH43" s="217"/>
      <c r="II43" s="217"/>
      <c r="IJ43" s="217"/>
      <c r="IK43" s="217"/>
      <c r="IL43" s="217"/>
      <c r="IM43" s="217"/>
      <c r="IN43" s="217"/>
      <c r="IO43" s="217"/>
      <c r="IP43" s="217"/>
      <c r="IQ43" s="217"/>
      <c r="IR43" s="217"/>
      <c r="IS43" s="217"/>
      <c r="IT43" s="217"/>
      <c r="IU43" s="217"/>
    </row>
    <row r="44" spans="1:255" s="261" customFormat="1" x14ac:dyDescent="0.3">
      <c r="A44" s="300"/>
      <c r="B44" s="301"/>
      <c r="C44" s="301"/>
      <c r="D44" s="301"/>
      <c r="E44" s="301"/>
      <c r="F44" s="302"/>
      <c r="G44" s="301"/>
      <c r="H44" s="301"/>
      <c r="I44" s="301"/>
      <c r="J44" s="301"/>
      <c r="K44" s="301"/>
      <c r="L44" s="301"/>
      <c r="M44" s="301"/>
      <c r="N44" s="301"/>
      <c r="O44" s="303"/>
      <c r="T44" s="217"/>
      <c r="U44" s="217"/>
      <c r="V44" s="217"/>
      <c r="W44" s="217"/>
      <c r="X44" s="217"/>
      <c r="Y44" s="217"/>
      <c r="Z44" s="217"/>
      <c r="AA44" s="217"/>
      <c r="AB44" s="217"/>
      <c r="AC44" s="217"/>
      <c r="AD44" s="217"/>
      <c r="AE44" s="217"/>
      <c r="AF44" s="217"/>
      <c r="AG44" s="217"/>
      <c r="AH44" s="217"/>
      <c r="AI44" s="217"/>
      <c r="AJ44" s="217"/>
      <c r="AK44" s="217"/>
      <c r="AL44" s="217"/>
      <c r="AM44" s="217"/>
      <c r="AN44" s="217"/>
      <c r="AO44" s="217"/>
      <c r="AP44" s="217"/>
      <c r="AQ44" s="217"/>
      <c r="AR44" s="217"/>
      <c r="AS44" s="217"/>
      <c r="AT44" s="217"/>
      <c r="AU44" s="217"/>
      <c r="AV44" s="217"/>
      <c r="AW44" s="217"/>
      <c r="AX44" s="217"/>
      <c r="AY44" s="217"/>
      <c r="AZ44" s="217"/>
      <c r="BA44" s="217"/>
      <c r="BB44" s="217"/>
      <c r="BC44" s="217"/>
      <c r="BD44" s="217"/>
      <c r="BE44" s="217"/>
      <c r="BF44" s="217"/>
      <c r="BG44" s="217"/>
      <c r="BH44" s="217"/>
      <c r="BI44" s="217"/>
      <c r="BJ44" s="217"/>
      <c r="BK44" s="217"/>
      <c r="BL44" s="217"/>
      <c r="BM44" s="217"/>
      <c r="BN44" s="217"/>
      <c r="BO44" s="217"/>
      <c r="BP44" s="217"/>
      <c r="BQ44" s="217"/>
      <c r="BR44" s="217"/>
      <c r="BS44" s="217"/>
      <c r="BT44" s="217"/>
      <c r="BU44" s="217"/>
      <c r="BV44" s="217"/>
      <c r="BW44" s="217"/>
      <c r="BX44" s="217"/>
      <c r="BY44" s="217"/>
      <c r="BZ44" s="217"/>
      <c r="CA44" s="217"/>
      <c r="CB44" s="217"/>
      <c r="CC44" s="217"/>
      <c r="CD44" s="217"/>
      <c r="CE44" s="217"/>
      <c r="CF44" s="217"/>
      <c r="CG44" s="217"/>
      <c r="CH44" s="217"/>
      <c r="CI44" s="217"/>
      <c r="CJ44" s="217"/>
      <c r="CK44" s="217"/>
      <c r="CL44" s="217"/>
      <c r="CM44" s="217"/>
      <c r="CN44" s="217"/>
      <c r="CO44" s="217"/>
      <c r="CP44" s="217"/>
      <c r="CQ44" s="217"/>
      <c r="CR44" s="217"/>
      <c r="CS44" s="217"/>
      <c r="CT44" s="217"/>
      <c r="CU44" s="217"/>
      <c r="CV44" s="217"/>
      <c r="CW44" s="217"/>
      <c r="CX44" s="217"/>
      <c r="CY44" s="217"/>
      <c r="CZ44" s="217"/>
      <c r="DA44" s="217"/>
      <c r="DB44" s="217"/>
      <c r="DC44" s="217"/>
      <c r="DD44" s="217"/>
      <c r="DE44" s="217"/>
      <c r="DF44" s="217"/>
      <c r="DG44" s="217"/>
      <c r="DH44" s="217"/>
      <c r="DI44" s="217"/>
      <c r="DJ44" s="217"/>
      <c r="DK44" s="217"/>
      <c r="DL44" s="217"/>
      <c r="DM44" s="217"/>
      <c r="DN44" s="217"/>
      <c r="DO44" s="217"/>
      <c r="DP44" s="217"/>
      <c r="DQ44" s="217"/>
      <c r="DR44" s="217"/>
      <c r="DS44" s="217"/>
      <c r="DT44" s="217"/>
      <c r="DU44" s="217"/>
      <c r="DV44" s="217"/>
      <c r="DW44" s="217"/>
      <c r="DX44" s="217"/>
      <c r="DY44" s="217"/>
      <c r="DZ44" s="217"/>
      <c r="EA44" s="217"/>
      <c r="EB44" s="217"/>
      <c r="EC44" s="217"/>
      <c r="ED44" s="217"/>
      <c r="EE44" s="217"/>
      <c r="EF44" s="217"/>
      <c r="EG44" s="217"/>
      <c r="EH44" s="217"/>
      <c r="EI44" s="217"/>
      <c r="EJ44" s="217"/>
      <c r="EK44" s="217"/>
      <c r="EL44" s="217"/>
      <c r="EM44" s="217"/>
      <c r="EN44" s="217"/>
      <c r="EO44" s="217"/>
      <c r="EP44" s="217"/>
      <c r="EQ44" s="217"/>
      <c r="ER44" s="217"/>
      <c r="ES44" s="217"/>
      <c r="ET44" s="217"/>
      <c r="EU44" s="217"/>
      <c r="EV44" s="217"/>
      <c r="EW44" s="217"/>
      <c r="EX44" s="217"/>
      <c r="EY44" s="217"/>
      <c r="EZ44" s="217"/>
      <c r="FA44" s="217"/>
      <c r="FB44" s="217"/>
      <c r="FC44" s="217"/>
      <c r="FD44" s="217"/>
      <c r="FE44" s="217"/>
      <c r="FF44" s="217"/>
      <c r="FG44" s="217"/>
      <c r="FH44" s="217"/>
      <c r="FI44" s="217"/>
      <c r="FJ44" s="217"/>
      <c r="FK44" s="217"/>
      <c r="FL44" s="217"/>
      <c r="FM44" s="217"/>
      <c r="FN44" s="217"/>
      <c r="FO44" s="217"/>
      <c r="FP44" s="217"/>
      <c r="FQ44" s="217"/>
      <c r="FR44" s="217"/>
      <c r="FS44" s="217"/>
      <c r="FT44" s="217"/>
      <c r="FU44" s="217"/>
      <c r="FV44" s="217"/>
      <c r="FW44" s="217"/>
      <c r="FX44" s="217"/>
      <c r="FY44" s="217"/>
      <c r="FZ44" s="217"/>
      <c r="GA44" s="217"/>
      <c r="GB44" s="217"/>
      <c r="GC44" s="217"/>
      <c r="GD44" s="217"/>
      <c r="GE44" s="217"/>
      <c r="GF44" s="217"/>
      <c r="GG44" s="217"/>
      <c r="GH44" s="217"/>
      <c r="GI44" s="217"/>
      <c r="GJ44" s="217"/>
      <c r="GK44" s="217"/>
      <c r="GL44" s="217"/>
      <c r="GM44" s="217"/>
      <c r="GN44" s="217"/>
      <c r="GO44" s="217"/>
      <c r="GP44" s="217"/>
      <c r="GQ44" s="217"/>
      <c r="GR44" s="217"/>
      <c r="GS44" s="217"/>
      <c r="GT44" s="217"/>
      <c r="GU44" s="217"/>
      <c r="GV44" s="217"/>
      <c r="GW44" s="217"/>
      <c r="GX44" s="217"/>
      <c r="GY44" s="217"/>
      <c r="GZ44" s="217"/>
      <c r="HA44" s="217"/>
      <c r="HB44" s="217"/>
      <c r="HC44" s="217"/>
      <c r="HD44" s="217"/>
      <c r="HE44" s="217"/>
      <c r="HF44" s="217"/>
      <c r="HG44" s="217"/>
      <c r="HH44" s="217"/>
      <c r="HI44" s="217"/>
      <c r="HJ44" s="217"/>
      <c r="HK44" s="217"/>
      <c r="HL44" s="217"/>
      <c r="HM44" s="217"/>
      <c r="HN44" s="217"/>
      <c r="HO44" s="217"/>
      <c r="HP44" s="217"/>
      <c r="HQ44" s="217"/>
      <c r="HR44" s="217"/>
      <c r="HS44" s="217"/>
      <c r="HT44" s="217"/>
      <c r="HU44" s="217"/>
      <c r="HV44" s="217"/>
      <c r="HW44" s="217"/>
      <c r="HX44" s="217"/>
      <c r="HY44" s="217"/>
      <c r="HZ44" s="217"/>
      <c r="IA44" s="217"/>
      <c r="IB44" s="217"/>
      <c r="IC44" s="217"/>
      <c r="ID44" s="217"/>
      <c r="IE44" s="217"/>
      <c r="IF44" s="217"/>
      <c r="IG44" s="217"/>
      <c r="IH44" s="217"/>
      <c r="II44" s="217"/>
      <c r="IJ44" s="217"/>
      <c r="IK44" s="217"/>
      <c r="IL44" s="217"/>
      <c r="IM44" s="217"/>
      <c r="IN44" s="217"/>
      <c r="IO44" s="217"/>
      <c r="IP44" s="217"/>
      <c r="IQ44" s="217"/>
      <c r="IR44" s="217"/>
      <c r="IS44" s="217"/>
      <c r="IT44" s="217"/>
      <c r="IU44" s="217"/>
    </row>
    <row r="45" spans="1:255" s="261" customFormat="1" x14ac:dyDescent="0.3">
      <c r="B45" s="304"/>
      <c r="C45" s="304"/>
      <c r="D45" s="304"/>
      <c r="E45" s="304"/>
      <c r="F45" s="305"/>
      <c r="G45" s="304"/>
      <c r="H45" s="304"/>
      <c r="I45" s="304"/>
      <c r="J45" s="304"/>
      <c r="K45" s="304"/>
      <c r="L45" s="304"/>
      <c r="M45" s="304"/>
      <c r="N45" s="304"/>
      <c r="O45" s="260"/>
    </row>
    <row r="46" spans="1:255" s="261" customFormat="1" x14ac:dyDescent="0.3">
      <c r="B46" s="306"/>
      <c r="C46" s="306"/>
      <c r="D46" s="306"/>
      <c r="E46" s="306"/>
      <c r="F46" s="307"/>
      <c r="G46" s="306"/>
      <c r="H46" s="306"/>
      <c r="I46" s="306"/>
      <c r="J46" s="306"/>
      <c r="K46" s="306"/>
      <c r="L46" s="306"/>
      <c r="M46" s="306"/>
      <c r="N46" s="306"/>
      <c r="O46" s="260"/>
    </row>
    <row r="47" spans="1:255" s="261" customFormat="1" x14ac:dyDescent="0.3">
      <c r="B47" s="304"/>
      <c r="C47" s="304"/>
      <c r="D47" s="304"/>
      <c r="E47" s="304"/>
      <c r="F47" s="305"/>
      <c r="G47" s="304"/>
      <c r="H47" s="304"/>
      <c r="I47" s="304"/>
      <c r="J47" s="304"/>
      <c r="K47" s="304"/>
      <c r="L47" s="304"/>
      <c r="M47" s="304"/>
      <c r="N47" s="304"/>
      <c r="O47" s="260"/>
    </row>
    <row r="48" spans="1:255" s="261" customFormat="1" x14ac:dyDescent="0.3">
      <c r="F48" s="308"/>
      <c r="O48" s="260"/>
    </row>
    <row r="49" spans="2:15" s="261" customFormat="1" x14ac:dyDescent="0.3">
      <c r="B49" s="309"/>
      <c r="C49" s="309"/>
      <c r="D49" s="309"/>
      <c r="E49" s="309"/>
      <c r="F49" s="310"/>
      <c r="G49" s="309"/>
      <c r="H49" s="309"/>
      <c r="I49" s="309"/>
      <c r="J49" s="309"/>
      <c r="K49" s="309"/>
      <c r="L49" s="309"/>
      <c r="M49" s="309"/>
      <c r="N49" s="309"/>
      <c r="O49" s="260"/>
    </row>
    <row r="50" spans="2:15" s="261" customFormat="1" x14ac:dyDescent="0.3">
      <c r="F50" s="308"/>
      <c r="O50" s="260"/>
    </row>
    <row r="51" spans="2:15" s="261" customFormat="1" x14ac:dyDescent="0.3">
      <c r="B51" s="309"/>
      <c r="C51" s="309"/>
      <c r="D51" s="309"/>
      <c r="E51" s="309"/>
      <c r="F51" s="310"/>
      <c r="G51" s="309"/>
      <c r="H51" s="309"/>
      <c r="I51" s="309"/>
      <c r="J51" s="309"/>
      <c r="K51" s="309"/>
      <c r="L51" s="309"/>
      <c r="M51" s="309"/>
      <c r="N51" s="309"/>
      <c r="O51" s="260"/>
    </row>
    <row r="52" spans="2:15" s="261" customFormat="1" x14ac:dyDescent="0.3">
      <c r="E52" s="311"/>
      <c r="F52" s="312"/>
      <c r="G52" s="259"/>
      <c r="H52" s="259"/>
      <c r="I52" s="259"/>
      <c r="J52" s="259"/>
      <c r="K52" s="259"/>
      <c r="L52" s="259"/>
      <c r="M52" s="259"/>
      <c r="N52" s="313"/>
      <c r="O52" s="260"/>
    </row>
    <row r="53" spans="2:15" s="261" customFormat="1" x14ac:dyDescent="0.3">
      <c r="E53" s="311"/>
      <c r="F53" s="259"/>
      <c r="G53" s="259"/>
      <c r="H53" s="259"/>
      <c r="I53" s="259"/>
      <c r="J53" s="259"/>
      <c r="K53" s="259"/>
      <c r="L53" s="259"/>
      <c r="M53" s="259"/>
      <c r="N53" s="313"/>
      <c r="O53" s="260"/>
    </row>
  </sheetData>
  <autoFilter ref="A5:S40" xr:uid="{00000000-0009-0000-0000-00001A000000}"/>
  <mergeCells count="7">
    <mergeCell ref="A2:A4"/>
    <mergeCell ref="S2:S4"/>
    <mergeCell ref="B2:N2"/>
    <mergeCell ref="O2:O4"/>
    <mergeCell ref="P2:P4"/>
    <mergeCell ref="Q2:Q4"/>
    <mergeCell ref="R2:R4"/>
  </mergeCells>
  <pageMargins left="0.18" right="0.15748031496062992" top="0.48" bottom="0.39370078740157483" header="0.31496062992125984" footer="0.31496062992125984"/>
  <pageSetup paperSize="9" scale="65" orientation="portrait" r:id="rId1"/>
  <customProperties>
    <customPr name="EpmWorksheetKeyString_GUID" r:id="rId2"/>
  </customPropertie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J59"/>
  <sheetViews>
    <sheetView workbookViewId="0">
      <selection activeCell="N31" activeCellId="1" sqref="M34 N31"/>
    </sheetView>
  </sheetViews>
  <sheetFormatPr defaultColWidth="9.1796875" defaultRowHeight="14.5" outlineLevelRow="1" x14ac:dyDescent="0.35"/>
  <cols>
    <col min="1" max="1" width="45" style="91" customWidth="1"/>
    <col min="2" max="8" width="10.453125" style="91" customWidth="1"/>
    <col min="9" max="16384" width="9.1796875" style="91"/>
  </cols>
  <sheetData>
    <row r="1" spans="1:8" x14ac:dyDescent="0.35">
      <c r="A1" s="91" t="s">
        <v>129</v>
      </c>
    </row>
    <row r="2" spans="1:8" ht="15" thickBot="1" x14ac:dyDescent="0.4">
      <c r="A2" s="1618" t="s">
        <v>0</v>
      </c>
      <c r="B2" s="1619"/>
      <c r="C2" s="1619"/>
      <c r="D2" s="1619"/>
      <c r="E2" s="1619"/>
      <c r="F2" s="1619"/>
      <c r="G2" s="1619"/>
      <c r="H2" s="1619"/>
    </row>
    <row r="3" spans="1:8" ht="35.25" customHeight="1" thickBot="1" x14ac:dyDescent="0.4">
      <c r="A3" s="17"/>
      <c r="B3" s="18" t="s">
        <v>1</v>
      </c>
      <c r="C3" s="18" t="s">
        <v>2</v>
      </c>
      <c r="D3" s="19" t="s">
        <v>3</v>
      </c>
      <c r="E3" s="19" t="s">
        <v>4</v>
      </c>
      <c r="F3" s="19" t="s">
        <v>5</v>
      </c>
      <c r="G3" s="19" t="s">
        <v>6</v>
      </c>
      <c r="H3" s="20" t="s">
        <v>7</v>
      </c>
    </row>
    <row r="4" spans="1:8" ht="9.75" customHeight="1" x14ac:dyDescent="0.35">
      <c r="A4" s="15"/>
      <c r="B4" s="34"/>
      <c r="C4" s="34"/>
      <c r="D4" s="34"/>
      <c r="E4" s="34"/>
      <c r="F4" s="34"/>
      <c r="G4" s="34"/>
      <c r="H4" s="34"/>
    </row>
    <row r="5" spans="1:8" x14ac:dyDescent="0.35">
      <c r="A5" s="23" t="s">
        <v>8</v>
      </c>
      <c r="B5" s="42"/>
      <c r="C5" s="42"/>
      <c r="D5" s="42"/>
      <c r="E5" s="42"/>
      <c r="F5" s="42"/>
      <c r="G5" s="42"/>
      <c r="H5" s="42"/>
    </row>
    <row r="6" spans="1:8" x14ac:dyDescent="0.35">
      <c r="A6" s="112" t="s">
        <v>9</v>
      </c>
      <c r="B6" s="35">
        <v>28012.5</v>
      </c>
      <c r="C6" s="35">
        <v>28012.5</v>
      </c>
      <c r="D6" s="35">
        <v>28012.5</v>
      </c>
      <c r="E6" s="35">
        <v>28012.5</v>
      </c>
      <c r="F6" s="7">
        <v>28012.5</v>
      </c>
      <c r="G6" s="7"/>
      <c r="H6" s="7"/>
    </row>
    <row r="7" spans="1:8" s="127" customFormat="1" x14ac:dyDescent="0.35">
      <c r="A7" s="6" t="s">
        <v>10</v>
      </c>
      <c r="B7" s="36">
        <v>14030</v>
      </c>
      <c r="C7" s="36">
        <v>3700</v>
      </c>
      <c r="D7" s="36">
        <v>0</v>
      </c>
      <c r="E7" s="36">
        <v>0</v>
      </c>
      <c r="F7" s="36">
        <v>0</v>
      </c>
      <c r="G7" s="36">
        <v>0</v>
      </c>
      <c r="H7" s="36">
        <v>0</v>
      </c>
    </row>
    <row r="8" spans="1:8" s="127" customFormat="1" x14ac:dyDescent="0.35">
      <c r="A8" s="6" t="s">
        <v>11</v>
      </c>
      <c r="B8" s="36">
        <v>0</v>
      </c>
      <c r="C8" s="36">
        <v>0</v>
      </c>
      <c r="D8" s="36">
        <v>3000</v>
      </c>
      <c r="E8" s="36">
        <v>5000</v>
      </c>
      <c r="F8" s="36">
        <v>5000</v>
      </c>
      <c r="G8" s="36">
        <v>10000</v>
      </c>
      <c r="H8" s="36">
        <v>10000</v>
      </c>
    </row>
    <row r="9" spans="1:8" x14ac:dyDescent="0.35">
      <c r="A9" s="21" t="s">
        <v>12</v>
      </c>
      <c r="B9" s="40">
        <v>42042.5</v>
      </c>
      <c r="C9" s="40">
        <v>31712.5</v>
      </c>
      <c r="D9" s="40">
        <v>31012.5</v>
      </c>
      <c r="E9" s="40">
        <v>33012.5</v>
      </c>
      <c r="F9" s="40">
        <v>33012.5</v>
      </c>
      <c r="G9" s="40">
        <v>41522.5</v>
      </c>
      <c r="H9" s="40">
        <v>42220</v>
      </c>
    </row>
    <row r="10" spans="1:8" s="201" customFormat="1" x14ac:dyDescent="0.35">
      <c r="A10" s="14"/>
      <c r="B10" s="39"/>
      <c r="C10" s="39"/>
      <c r="D10" s="39"/>
      <c r="E10" s="39"/>
      <c r="F10" s="39"/>
      <c r="G10" s="39"/>
      <c r="H10" s="39"/>
    </row>
    <row r="11" spans="1:8" x14ac:dyDescent="0.35">
      <c r="A11" s="1620" t="s">
        <v>13</v>
      </c>
      <c r="B11" s="1621"/>
      <c r="C11" s="1621"/>
      <c r="D11" s="1621"/>
      <c r="E11" s="1621"/>
      <c r="F11" s="1621"/>
      <c r="G11" s="1621"/>
      <c r="H11" s="1622"/>
    </row>
    <row r="12" spans="1:8" s="200" customFormat="1" ht="13" hidden="1" x14ac:dyDescent="0.3">
      <c r="A12" s="13" t="s">
        <v>14</v>
      </c>
      <c r="B12" s="33">
        <v>19033.226999999999</v>
      </c>
      <c r="C12" s="33">
        <v>12843.25</v>
      </c>
      <c r="D12" s="33">
        <v>0</v>
      </c>
      <c r="E12" s="33">
        <v>0</v>
      </c>
      <c r="F12" s="33">
        <v>0</v>
      </c>
      <c r="G12" s="33">
        <v>0</v>
      </c>
      <c r="H12" s="33">
        <v>0</v>
      </c>
    </row>
    <row r="13" spans="1:8" s="200" customFormat="1" ht="13" hidden="1" x14ac:dyDescent="0.3">
      <c r="A13" s="13" t="s">
        <v>15</v>
      </c>
      <c r="B13" s="33">
        <v>27200</v>
      </c>
      <c r="C13" s="33">
        <v>52949.75</v>
      </c>
      <c r="D13" s="33">
        <v>32300</v>
      </c>
      <c r="E13" s="33">
        <v>34000</v>
      </c>
      <c r="F13" s="33">
        <v>34000</v>
      </c>
      <c r="G13" s="33">
        <v>16100</v>
      </c>
      <c r="H13" s="33">
        <v>3450</v>
      </c>
    </row>
    <row r="14" spans="1:8" s="200" customFormat="1" ht="13" hidden="1" x14ac:dyDescent="0.3">
      <c r="A14" s="13" t="s">
        <v>16</v>
      </c>
      <c r="B14" s="33">
        <v>7402.0190000000002</v>
      </c>
      <c r="C14" s="33"/>
      <c r="D14" s="33"/>
      <c r="E14" s="33"/>
      <c r="F14" s="33"/>
      <c r="G14" s="33"/>
      <c r="H14" s="33"/>
    </row>
    <row r="15" spans="1:8" x14ac:dyDescent="0.35">
      <c r="A15" s="112" t="s">
        <v>9</v>
      </c>
      <c r="B15" s="35">
        <v>191849.52100000001</v>
      </c>
      <c r="C15" s="35">
        <v>175744.78</v>
      </c>
      <c r="D15" s="35">
        <v>209387.5</v>
      </c>
      <c r="E15" s="35">
        <v>209937.5</v>
      </c>
      <c r="F15" s="35">
        <v>227637.5</v>
      </c>
      <c r="G15" s="35">
        <v>245653</v>
      </c>
      <c r="H15" s="35">
        <v>265530</v>
      </c>
    </row>
    <row r="16" spans="1:8" x14ac:dyDescent="0.35">
      <c r="A16" s="112" t="s">
        <v>17</v>
      </c>
      <c r="B16" s="35">
        <v>46233.226999999999</v>
      </c>
      <c r="C16" s="35">
        <v>65793</v>
      </c>
      <c r="D16" s="35">
        <v>32300</v>
      </c>
      <c r="E16" s="35">
        <v>34000</v>
      </c>
      <c r="F16" s="35">
        <v>34000</v>
      </c>
      <c r="G16" s="35">
        <v>19550</v>
      </c>
      <c r="H16" s="35">
        <v>0</v>
      </c>
    </row>
    <row r="17" spans="1:10" x14ac:dyDescent="0.35">
      <c r="A17" s="112" t="s">
        <v>18</v>
      </c>
      <c r="B17" s="35">
        <v>0</v>
      </c>
      <c r="C17" s="35">
        <v>0</v>
      </c>
      <c r="D17" s="35">
        <v>30000</v>
      </c>
      <c r="E17" s="35">
        <v>40000</v>
      </c>
      <c r="F17" s="35">
        <v>40000</v>
      </c>
      <c r="G17" s="35">
        <v>50000</v>
      </c>
      <c r="H17" s="35">
        <v>50000</v>
      </c>
    </row>
    <row r="18" spans="1:10" ht="29" hidden="1" x14ac:dyDescent="0.35">
      <c r="A18" s="32" t="s">
        <v>19</v>
      </c>
      <c r="B18" s="35">
        <v>0</v>
      </c>
      <c r="C18" s="35">
        <v>0</v>
      </c>
      <c r="D18" s="35">
        <v>0</v>
      </c>
      <c r="E18" s="35">
        <v>0</v>
      </c>
      <c r="F18" s="35">
        <v>0</v>
      </c>
      <c r="G18" s="35">
        <v>0</v>
      </c>
      <c r="H18" s="35">
        <v>0</v>
      </c>
    </row>
    <row r="19" spans="1:10" ht="15" customHeight="1" thickBot="1" x14ac:dyDescent="0.4">
      <c r="A19" s="22" t="s">
        <v>20</v>
      </c>
      <c r="B19" s="41">
        <v>238082.74800000002</v>
      </c>
      <c r="C19" s="41">
        <v>241537.78</v>
      </c>
      <c r="D19" s="41">
        <v>271687.5</v>
      </c>
      <c r="E19" s="41">
        <v>283937.5</v>
      </c>
      <c r="F19" s="41">
        <v>301637.5</v>
      </c>
      <c r="G19" s="41">
        <v>315203</v>
      </c>
      <c r="H19" s="41">
        <v>315530</v>
      </c>
      <c r="I19" s="199"/>
      <c r="J19" s="199"/>
    </row>
    <row r="20" spans="1:10" ht="16.5" hidden="1" outlineLevel="1" thickTop="1" thickBot="1" x14ac:dyDescent="0.4">
      <c r="A20" s="16" t="s">
        <v>21</v>
      </c>
      <c r="B20" s="1623"/>
      <c r="C20" s="1623"/>
      <c r="D20" s="1623"/>
      <c r="E20" s="1623"/>
      <c r="F20" s="1623"/>
      <c r="G20" s="1623"/>
      <c r="H20" s="1623"/>
      <c r="I20" s="199"/>
      <c r="J20" s="199"/>
    </row>
    <row r="21" spans="1:10" s="127" customFormat="1" ht="29.25" customHeight="1" collapsed="1" thickTop="1" thickBot="1" x14ac:dyDescent="0.4">
      <c r="A21" s="17" t="s">
        <v>22</v>
      </c>
      <c r="B21" s="19">
        <v>2014</v>
      </c>
      <c r="C21" s="19">
        <v>2015</v>
      </c>
      <c r="D21" s="19">
        <v>2016</v>
      </c>
      <c r="E21" s="19">
        <v>2017</v>
      </c>
      <c r="F21" s="19">
        <v>2018</v>
      </c>
      <c r="G21" s="19">
        <v>2019</v>
      </c>
      <c r="H21" s="20">
        <v>2020</v>
      </c>
      <c r="I21" s="199"/>
      <c r="J21" s="199"/>
    </row>
    <row r="22" spans="1:10" x14ac:dyDescent="0.35">
      <c r="A22" s="8" t="s">
        <v>23</v>
      </c>
      <c r="B22" s="37">
        <v>48555</v>
      </c>
      <c r="C22" s="37">
        <v>50376</v>
      </c>
      <c r="D22" s="37">
        <v>53623</v>
      </c>
      <c r="E22" s="37">
        <v>57091</v>
      </c>
      <c r="F22" s="37">
        <v>58511</v>
      </c>
      <c r="G22" s="37">
        <v>59966</v>
      </c>
      <c r="H22" s="37">
        <v>61458</v>
      </c>
      <c r="I22" s="199"/>
      <c r="J22" s="199"/>
    </row>
    <row r="23" spans="1:10" s="127" customFormat="1" x14ac:dyDescent="0.35">
      <c r="A23" s="9" t="s">
        <v>24</v>
      </c>
      <c r="B23" s="37">
        <v>6180</v>
      </c>
      <c r="C23" s="37">
        <v>6334.4999999999991</v>
      </c>
      <c r="D23" s="37">
        <v>6492.8624999999984</v>
      </c>
      <c r="E23" s="37">
        <v>6655.1840624999977</v>
      </c>
      <c r="F23" s="37">
        <v>6821.5636640624971</v>
      </c>
      <c r="G23" s="37">
        <v>6992.1027556640593</v>
      </c>
      <c r="H23" s="37">
        <v>7166.9053245556597</v>
      </c>
    </row>
    <row r="24" spans="1:10" s="192" customFormat="1" x14ac:dyDescent="0.35">
      <c r="A24" s="1" t="s">
        <v>25</v>
      </c>
      <c r="B24" s="37">
        <v>22301</v>
      </c>
      <c r="C24" s="37">
        <v>18841.916761176471</v>
      </c>
      <c r="D24" s="37">
        <v>23407.924999999999</v>
      </c>
      <c r="E24" s="37">
        <v>23993.123124999998</v>
      </c>
      <c r="F24" s="37">
        <v>24592.951203124998</v>
      </c>
      <c r="G24" s="37">
        <v>26707.774983203122</v>
      </c>
      <c r="H24" s="37">
        <v>28332.969357783197</v>
      </c>
    </row>
    <row r="25" spans="1:10" s="52" customFormat="1" x14ac:dyDescent="0.35">
      <c r="A25" s="1" t="s">
        <v>26</v>
      </c>
      <c r="B25" s="37">
        <v>27500</v>
      </c>
      <c r="C25" s="37">
        <v>22788.499999999996</v>
      </c>
      <c r="D25" s="37">
        <v>28893.187499999993</v>
      </c>
      <c r="E25" s="37">
        <v>29614.492187499989</v>
      </c>
      <c r="F25" s="37">
        <v>30355.854492187485</v>
      </c>
      <c r="G25" s="37">
        <v>33513.725854492171</v>
      </c>
      <c r="H25" s="37">
        <v>34891.569000854477</v>
      </c>
    </row>
    <row r="26" spans="1:10" x14ac:dyDescent="0.35">
      <c r="A26" s="111" t="s">
        <v>27</v>
      </c>
      <c r="B26" s="37">
        <v>8629</v>
      </c>
      <c r="C26" s="37">
        <v>6844.7250000000004</v>
      </c>
      <c r="D26" s="37">
        <v>9065.8431249999994</v>
      </c>
      <c r="E26" s="37">
        <v>9292.4892031250001</v>
      </c>
      <c r="F26" s="37">
        <v>9524.8014332031198</v>
      </c>
      <c r="G26" s="37">
        <v>10762.921469033199</v>
      </c>
      <c r="H26" s="37">
        <v>11006.994505758999</v>
      </c>
    </row>
    <row r="27" spans="1:10" s="192" customFormat="1" outlineLevel="1" x14ac:dyDescent="0.35">
      <c r="A27" s="10" t="s">
        <v>28</v>
      </c>
      <c r="B27" s="38">
        <v>21208.5</v>
      </c>
      <c r="C27" s="38">
        <v>21130.400000000005</v>
      </c>
      <c r="D27" s="38">
        <v>27568.2</v>
      </c>
      <c r="E27" s="38">
        <v>30428.700000000004</v>
      </c>
      <c r="F27" s="38">
        <v>38876</v>
      </c>
      <c r="G27" s="38">
        <v>38686</v>
      </c>
      <c r="H27" s="38">
        <v>42291</v>
      </c>
    </row>
    <row r="28" spans="1:10" s="192" customFormat="1" outlineLevel="1" x14ac:dyDescent="0.35">
      <c r="A28" s="10" t="s">
        <v>29</v>
      </c>
      <c r="B28" s="38">
        <v>3300</v>
      </c>
      <c r="C28" s="38">
        <v>5903.9999999999982</v>
      </c>
      <c r="D28" s="38">
        <v>2422.5</v>
      </c>
      <c r="E28" s="38">
        <v>0</v>
      </c>
      <c r="F28" s="38">
        <v>0</v>
      </c>
      <c r="G28" s="38">
        <v>0</v>
      </c>
      <c r="H28" s="38">
        <v>0</v>
      </c>
    </row>
    <row r="29" spans="1:10" s="192" customFormat="1" outlineLevel="1" x14ac:dyDescent="0.35">
      <c r="A29" s="10" t="s">
        <v>30</v>
      </c>
      <c r="B29" s="38">
        <v>18700</v>
      </c>
      <c r="C29" s="38">
        <v>33455.999999999993</v>
      </c>
      <c r="D29" s="38">
        <v>13727.5</v>
      </c>
      <c r="E29" s="38">
        <v>0</v>
      </c>
      <c r="F29" s="38">
        <v>0</v>
      </c>
      <c r="G29" s="38">
        <v>0</v>
      </c>
      <c r="H29" s="38">
        <v>0</v>
      </c>
    </row>
    <row r="30" spans="1:10" s="192" customFormat="1" ht="15" thickBot="1" x14ac:dyDescent="0.4">
      <c r="A30" s="3" t="s">
        <v>31</v>
      </c>
      <c r="B30" s="37">
        <v>43208.5</v>
      </c>
      <c r="C30" s="37">
        <v>60490.399999999994</v>
      </c>
      <c r="D30" s="37">
        <v>43718.2</v>
      </c>
      <c r="E30" s="37">
        <v>30428.700000000004</v>
      </c>
      <c r="F30" s="37">
        <v>38876</v>
      </c>
      <c r="G30" s="37">
        <v>44286</v>
      </c>
      <c r="H30" s="37">
        <v>60345</v>
      </c>
    </row>
    <row r="31" spans="1:10" ht="15" thickBot="1" x14ac:dyDescent="0.4">
      <c r="A31" s="24" t="s">
        <v>32</v>
      </c>
      <c r="B31" s="43">
        <v>156373.5</v>
      </c>
      <c r="C31" s="43">
        <v>165676.04176117649</v>
      </c>
      <c r="D31" s="43">
        <v>165201.01812499997</v>
      </c>
      <c r="E31" s="43">
        <v>157074.98857812499</v>
      </c>
      <c r="F31" s="43">
        <v>168682.17079257808</v>
      </c>
      <c r="G31" s="43">
        <v>182228.52506239255</v>
      </c>
      <c r="H31" s="43">
        <v>203201.43818895234</v>
      </c>
    </row>
    <row r="32" spans="1:10" outlineLevel="1" x14ac:dyDescent="0.35">
      <c r="A32" s="27"/>
      <c r="B32" s="44">
        <v>0.65680383900538675</v>
      </c>
      <c r="C32" s="44">
        <v>0.68592041724805419</v>
      </c>
      <c r="D32" s="44">
        <v>0.60805352006910862</v>
      </c>
      <c r="E32" s="44">
        <v>0.55320205229768094</v>
      </c>
      <c r="F32" s="44">
        <v>0.55922017815845271</v>
      </c>
      <c r="G32" s="44">
        <v>0.578131029142402</v>
      </c>
      <c r="H32" s="44">
        <v>0.64400128184890604</v>
      </c>
    </row>
    <row r="33" spans="1:8" s="196" customFormat="1" x14ac:dyDescent="0.35">
      <c r="A33" s="4" t="s">
        <v>33</v>
      </c>
      <c r="B33" s="37">
        <v>5000</v>
      </c>
      <c r="C33" s="37">
        <v>5000</v>
      </c>
      <c r="D33" s="37">
        <v>6500</v>
      </c>
      <c r="E33" s="37">
        <v>6000</v>
      </c>
      <c r="F33" s="37">
        <v>6250</v>
      </c>
      <c r="G33" s="37">
        <v>8000</v>
      </c>
      <c r="H33" s="37">
        <v>9000</v>
      </c>
    </row>
    <row r="34" spans="1:8" x14ac:dyDescent="0.35">
      <c r="A34" s="111" t="s">
        <v>34</v>
      </c>
      <c r="B34" s="37">
        <v>500</v>
      </c>
      <c r="C34" s="37">
        <v>500</v>
      </c>
      <c r="D34" s="37">
        <v>1000</v>
      </c>
      <c r="E34" s="37">
        <v>735</v>
      </c>
      <c r="F34" s="37">
        <v>500.25</v>
      </c>
      <c r="G34" s="37">
        <v>2153.78125</v>
      </c>
      <c r="H34" s="37">
        <v>2207.6257812499998</v>
      </c>
    </row>
    <row r="35" spans="1:8" s="196" customFormat="1" x14ac:dyDescent="0.35">
      <c r="A35" s="5" t="s">
        <v>35</v>
      </c>
      <c r="B35" s="37">
        <v>7000</v>
      </c>
      <c r="C35" s="37">
        <v>5000</v>
      </c>
      <c r="D35" s="37">
        <v>7700</v>
      </c>
      <c r="E35" s="37">
        <v>7550</v>
      </c>
      <c r="F35" s="37">
        <v>5620.125</v>
      </c>
      <c r="G35" s="37">
        <v>8830.5031249999993</v>
      </c>
      <c r="H35" s="37">
        <v>9052.2657031249983</v>
      </c>
    </row>
    <row r="36" spans="1:8" ht="48.65" customHeight="1" x14ac:dyDescent="0.35">
      <c r="A36" s="3" t="s">
        <v>36</v>
      </c>
      <c r="B36" s="198">
        <v>4000</v>
      </c>
      <c r="C36" s="198">
        <v>3000</v>
      </c>
      <c r="D36" s="198">
        <v>10771.083238823529</v>
      </c>
      <c r="E36" s="198">
        <v>9345</v>
      </c>
      <c r="F36" s="198">
        <v>16772</v>
      </c>
      <c r="G36" s="198">
        <v>16581</v>
      </c>
      <c r="H36" s="198">
        <v>17049</v>
      </c>
    </row>
    <row r="37" spans="1:8" outlineLevel="1" x14ac:dyDescent="0.35">
      <c r="A37" s="11" t="s">
        <v>28</v>
      </c>
      <c r="B37" s="38">
        <v>12000</v>
      </c>
      <c r="C37" s="38">
        <v>2000</v>
      </c>
      <c r="D37" s="38">
        <v>6000</v>
      </c>
      <c r="E37" s="38">
        <v>0</v>
      </c>
      <c r="F37" s="38">
        <v>0</v>
      </c>
      <c r="G37" s="38">
        <v>0</v>
      </c>
      <c r="H37" s="38">
        <v>0</v>
      </c>
    </row>
    <row r="38" spans="1:8" outlineLevel="1" x14ac:dyDescent="0.35">
      <c r="A38" s="11" t="s">
        <v>37</v>
      </c>
      <c r="B38" s="38">
        <v>1500</v>
      </c>
      <c r="C38" s="38">
        <v>5911.8940152941195</v>
      </c>
      <c r="D38" s="38">
        <v>3277.5</v>
      </c>
      <c r="E38" s="38">
        <v>6000</v>
      </c>
      <c r="F38" s="38">
        <v>6000</v>
      </c>
      <c r="G38" s="38">
        <v>3450</v>
      </c>
      <c r="H38" s="38">
        <v>0</v>
      </c>
    </row>
    <row r="39" spans="1:8" outlineLevel="1" x14ac:dyDescent="0.35">
      <c r="A39" s="11" t="s">
        <v>38</v>
      </c>
      <c r="B39" s="38">
        <v>8500</v>
      </c>
      <c r="C39" s="38">
        <v>15268.884930000007</v>
      </c>
      <c r="D39" s="38">
        <v>18572.5</v>
      </c>
      <c r="E39" s="38">
        <v>34000</v>
      </c>
      <c r="F39" s="38">
        <v>34000</v>
      </c>
      <c r="G39" s="38">
        <v>19550</v>
      </c>
      <c r="H39" s="38">
        <v>0</v>
      </c>
    </row>
    <row r="40" spans="1:8" outlineLevel="1" x14ac:dyDescent="0.35">
      <c r="A40" s="11" t="s">
        <v>39</v>
      </c>
      <c r="B40" s="38">
        <v>21635</v>
      </c>
      <c r="C40" s="38">
        <v>17068.11507</v>
      </c>
      <c r="D40" s="38">
        <v>0</v>
      </c>
      <c r="E40" s="38">
        <v>0</v>
      </c>
      <c r="F40" s="38">
        <v>0</v>
      </c>
      <c r="G40" s="38">
        <v>0</v>
      </c>
      <c r="H40" s="38">
        <v>0</v>
      </c>
    </row>
    <row r="41" spans="1:8" x14ac:dyDescent="0.35">
      <c r="A41" s="3" t="s">
        <v>40</v>
      </c>
      <c r="B41" s="37">
        <v>43635</v>
      </c>
      <c r="C41" s="37">
        <v>40248.894015294129</v>
      </c>
      <c r="D41" s="37">
        <v>27850</v>
      </c>
      <c r="E41" s="37">
        <v>40000</v>
      </c>
      <c r="F41" s="37">
        <v>40000</v>
      </c>
      <c r="G41" s="37">
        <v>23000</v>
      </c>
      <c r="H41" s="37">
        <v>0</v>
      </c>
    </row>
    <row r="42" spans="1:8" ht="29" x14ac:dyDescent="0.35">
      <c r="A42" s="197" t="s">
        <v>41</v>
      </c>
      <c r="B42" s="96">
        <v>0</v>
      </c>
      <c r="C42" s="96">
        <v>0</v>
      </c>
      <c r="D42" s="96">
        <v>30000</v>
      </c>
      <c r="E42" s="96">
        <v>40000</v>
      </c>
      <c r="F42" s="96">
        <v>40000</v>
      </c>
      <c r="G42" s="96">
        <v>50000</v>
      </c>
      <c r="H42" s="96">
        <v>50000</v>
      </c>
    </row>
    <row r="43" spans="1:8" ht="15" thickBot="1" x14ac:dyDescent="0.4">
      <c r="A43" s="29" t="s">
        <v>42</v>
      </c>
      <c r="B43" s="31">
        <v>60135</v>
      </c>
      <c r="C43" s="31">
        <v>53748.894015294129</v>
      </c>
      <c r="D43" s="31">
        <v>83821.083238823529</v>
      </c>
      <c r="E43" s="31">
        <v>103630</v>
      </c>
      <c r="F43" s="31">
        <v>109142.375</v>
      </c>
      <c r="G43" s="31">
        <v>108565.284375</v>
      </c>
      <c r="H43" s="31">
        <v>87308.891484374995</v>
      </c>
    </row>
    <row r="44" spans="1:8" outlineLevel="1" x14ac:dyDescent="0.35">
      <c r="A44" s="28"/>
      <c r="B44" s="44">
        <v>0.25258051305744855</v>
      </c>
      <c r="C44" s="44">
        <v>0.22252743014428589</v>
      </c>
      <c r="D44" s="44">
        <v>0.30851931360863344</v>
      </c>
      <c r="E44" s="44">
        <v>0.36497426610408484</v>
      </c>
      <c r="F44" s="44">
        <v>0.36183206621871472</v>
      </c>
      <c r="G44" s="44">
        <v>0.34442993797686955</v>
      </c>
      <c r="H44" s="44">
        <v>0.27670590589255722</v>
      </c>
    </row>
    <row r="45" spans="1:8" s="196" customFormat="1" ht="31.5" customHeight="1" thickBot="1" x14ac:dyDescent="0.4">
      <c r="A45" s="12" t="s">
        <v>43</v>
      </c>
      <c r="B45" s="37">
        <v>21574</v>
      </c>
      <c r="C45" s="37">
        <v>22113.35</v>
      </c>
      <c r="D45" s="37">
        <v>22666.183749999997</v>
      </c>
      <c r="E45" s="37">
        <v>23232.838343749994</v>
      </c>
      <c r="F45" s="37">
        <v>23813.659302343742</v>
      </c>
      <c r="G45" s="37">
        <v>24409.000784902331</v>
      </c>
      <c r="H45" s="37">
        <v>25019.225804524889</v>
      </c>
    </row>
    <row r="46" spans="1:8" ht="15.75" customHeight="1" thickBot="1" x14ac:dyDescent="0.4">
      <c r="A46" s="25" t="s">
        <v>44</v>
      </c>
      <c r="B46" s="43">
        <v>21574</v>
      </c>
      <c r="C46" s="43">
        <v>22113.35</v>
      </c>
      <c r="D46" s="43">
        <v>22666.183749999997</v>
      </c>
      <c r="E46" s="43">
        <v>23232.838343749994</v>
      </c>
      <c r="F46" s="43">
        <v>23813.659302343742</v>
      </c>
      <c r="G46" s="43">
        <v>24409.000784902331</v>
      </c>
      <c r="H46" s="43">
        <v>25019.225804524889</v>
      </c>
    </row>
    <row r="47" spans="1:8" ht="12.75" customHeight="1" outlineLevel="1" thickBot="1" x14ac:dyDescent="0.4">
      <c r="A47" s="25"/>
      <c r="B47" s="45">
        <v>9.0615647937164645E-2</v>
      </c>
      <c r="C47" s="45">
        <v>9.1552152607659865E-2</v>
      </c>
      <c r="D47" s="45">
        <v>8.3427166322257967E-2</v>
      </c>
      <c r="E47" s="45">
        <v>8.1823681598234069E-2</v>
      </c>
      <c r="F47" s="45">
        <v>7.8947755622832586E-2</v>
      </c>
      <c r="G47" s="45">
        <v>7.7439032880728537E-2</v>
      </c>
      <c r="H47" s="45">
        <v>7.9292812258536738E-2</v>
      </c>
    </row>
    <row r="48" spans="1:8" s="195" customFormat="1" ht="15" thickBot="1" x14ac:dyDescent="0.4">
      <c r="A48" s="17" t="s">
        <v>45</v>
      </c>
      <c r="B48" s="26">
        <v>238082.5</v>
      </c>
      <c r="C48" s="26">
        <v>241538.28577647061</v>
      </c>
      <c r="D48" s="26">
        <v>271688.28511382348</v>
      </c>
      <c r="E48" s="26">
        <v>283937.82692187501</v>
      </c>
      <c r="F48" s="26">
        <v>301638.20509492181</v>
      </c>
      <c r="G48" s="26">
        <v>315202.81022229488</v>
      </c>
      <c r="H48" s="26">
        <v>315529.55547785223</v>
      </c>
    </row>
    <row r="49" spans="1:8" s="192" customFormat="1" x14ac:dyDescent="0.35">
      <c r="A49" s="194" t="s">
        <v>46</v>
      </c>
      <c r="B49" s="92"/>
      <c r="C49" s="92"/>
      <c r="D49" s="92"/>
      <c r="E49" s="92"/>
      <c r="F49" s="92"/>
      <c r="G49" s="92"/>
      <c r="H49" s="92"/>
    </row>
    <row r="50" spans="1:8" s="193" customFormat="1" ht="15.5" x14ac:dyDescent="0.35">
      <c r="A50" s="91" t="s">
        <v>47</v>
      </c>
      <c r="B50" s="15"/>
      <c r="C50" s="15"/>
      <c r="D50" s="15"/>
      <c r="E50" s="15"/>
      <c r="F50" s="15"/>
      <c r="G50" s="15"/>
      <c r="H50" s="15"/>
    </row>
    <row r="51" spans="1:8" x14ac:dyDescent="0.35">
      <c r="A51" s="128"/>
    </row>
    <row r="52" spans="1:8" x14ac:dyDescent="0.35">
      <c r="A52" s="191"/>
    </row>
    <row r="53" spans="1:8" x14ac:dyDescent="0.35">
      <c r="A53" s="128"/>
    </row>
    <row r="54" spans="1:8" x14ac:dyDescent="0.35">
      <c r="A54" s="128"/>
    </row>
    <row r="55" spans="1:8" x14ac:dyDescent="0.35">
      <c r="A55" s="128"/>
    </row>
    <row r="57" spans="1:8" x14ac:dyDescent="0.35">
      <c r="C57" s="190"/>
    </row>
    <row r="59" spans="1:8" x14ac:dyDescent="0.35">
      <c r="C59" s="190"/>
    </row>
  </sheetData>
  <mergeCells count="3">
    <mergeCell ref="A2:H2"/>
    <mergeCell ref="A11:H11"/>
    <mergeCell ref="B20:H20"/>
  </mergeCells>
  <pageMargins left="0.28000000000000003" right="0.7" top="0.17" bottom="0.27" header="0.17" footer="0.17"/>
  <pageSetup paperSize="9" orientation="landscape" r:id="rId1"/>
  <customProperties>
    <customPr name="EpmWorksheetKeyString_GUID" r:id="rId2"/>
  </customPropertie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filterMode="1"/>
  <dimension ref="A1:M193"/>
  <sheetViews>
    <sheetView zoomScale="85" zoomScaleNormal="85" workbookViewId="0">
      <pane xSplit="4" ySplit="5" topLeftCell="E6" activePane="bottomRight" state="frozen"/>
      <selection pane="topRight" activeCell="E1" sqref="E1"/>
      <selection pane="bottomLeft" activeCell="A6" sqref="A6"/>
      <selection pane="bottomRight" activeCell="O171" sqref="O171"/>
    </sheetView>
  </sheetViews>
  <sheetFormatPr defaultColWidth="8.81640625" defaultRowHeight="13" x14ac:dyDescent="0.3"/>
  <cols>
    <col min="1" max="1" width="6.26953125" style="217" customWidth="1"/>
    <col min="2" max="2" width="7.81640625" style="217" customWidth="1"/>
    <col min="3" max="3" width="25.26953125" style="217" customWidth="1"/>
    <col min="4" max="4" width="5.26953125" style="217" customWidth="1"/>
    <col min="5" max="6" width="8.1796875" style="217" bestFit="1" customWidth="1"/>
    <col min="7" max="7" width="7.7265625" style="217" bestFit="1" customWidth="1"/>
    <col min="8" max="8" width="9.81640625" style="217" customWidth="1"/>
    <col min="9" max="9" width="7.7265625" style="218" customWidth="1"/>
    <col min="10" max="13" width="7.7265625" style="217" customWidth="1"/>
    <col min="14" max="21" width="8.81640625" style="217"/>
    <col min="22" max="23" width="9" style="217" bestFit="1" customWidth="1"/>
    <col min="24" max="16384" width="8.81640625" style="217"/>
  </cols>
  <sheetData>
    <row r="1" spans="1:13" ht="23.5" customHeight="1" x14ac:dyDescent="0.3">
      <c r="B1" s="241" t="s">
        <v>160</v>
      </c>
      <c r="C1" s="236"/>
      <c r="F1" s="219"/>
      <c r="G1" s="219"/>
      <c r="H1" s="219"/>
      <c r="I1" s="219"/>
      <c r="J1" s="219"/>
      <c r="K1" s="219"/>
      <c r="L1" s="219"/>
      <c r="M1" s="219"/>
    </row>
    <row r="2" spans="1:13" x14ac:dyDescent="0.3">
      <c r="A2" s="1624" t="s">
        <v>274</v>
      </c>
      <c r="B2" s="1624" t="s">
        <v>159</v>
      </c>
      <c r="C2" s="1624" t="s">
        <v>275</v>
      </c>
      <c r="D2" s="1624" t="s">
        <v>340</v>
      </c>
      <c r="E2" s="1624" t="s">
        <v>276</v>
      </c>
      <c r="F2" s="1624" t="s">
        <v>277</v>
      </c>
      <c r="G2" s="1624" t="s">
        <v>161</v>
      </c>
      <c r="H2" s="1624" t="s">
        <v>278</v>
      </c>
      <c r="I2" s="1625" t="s">
        <v>51</v>
      </c>
      <c r="J2" s="1625"/>
      <c r="K2" s="1625"/>
      <c r="L2" s="1625"/>
      <c r="M2" s="1625"/>
    </row>
    <row r="3" spans="1:13" x14ac:dyDescent="0.3">
      <c r="A3" s="1624"/>
      <c r="B3" s="1624"/>
      <c r="C3" s="1624"/>
      <c r="D3" s="1624"/>
      <c r="E3" s="1624"/>
      <c r="F3" s="1624"/>
      <c r="G3" s="1624"/>
      <c r="H3" s="1624"/>
      <c r="I3" s="244">
        <v>2016</v>
      </c>
      <c r="J3" s="244">
        <v>2017</v>
      </c>
      <c r="K3" s="244">
        <v>2018</v>
      </c>
      <c r="L3" s="244">
        <v>2019</v>
      </c>
      <c r="M3" s="244">
        <v>2020</v>
      </c>
    </row>
    <row r="4" spans="1:13" ht="15.65" customHeight="1" x14ac:dyDescent="0.3">
      <c r="A4" s="245"/>
      <c r="B4" s="245"/>
      <c r="C4" s="245" t="s">
        <v>280</v>
      </c>
      <c r="D4" s="245"/>
      <c r="E4" s="245"/>
      <c r="F4" s="245"/>
      <c r="G4" s="316">
        <f>SUM(G6:G149)</f>
        <v>788.46699999999953</v>
      </c>
      <c r="H4" s="245"/>
      <c r="I4" s="315">
        <f>SUM(I6:I149)</f>
        <v>33.029499999999999</v>
      </c>
      <c r="J4" s="315">
        <f>SUM(J6:J149)</f>
        <v>42.737999999999992</v>
      </c>
      <c r="K4" s="315">
        <f>SUM(K6:K149)</f>
        <v>58.816999999999986</v>
      </c>
      <c r="L4" s="315">
        <f>SUM(L6:L149)</f>
        <v>63.935999999999986</v>
      </c>
      <c r="M4" s="315">
        <f>SUM(M6:M149)</f>
        <v>57.59</v>
      </c>
    </row>
    <row r="5" spans="1:13" x14ac:dyDescent="0.3">
      <c r="A5" s="251">
        <v>1</v>
      </c>
      <c r="B5" s="251">
        <v>2</v>
      </c>
      <c r="C5" s="251">
        <v>3</v>
      </c>
      <c r="D5" s="251">
        <v>4</v>
      </c>
      <c r="E5" s="251">
        <v>5</v>
      </c>
      <c r="F5" s="251">
        <v>6</v>
      </c>
      <c r="G5" s="251">
        <v>7</v>
      </c>
      <c r="H5" s="251">
        <v>9</v>
      </c>
      <c r="I5" s="251">
        <v>10</v>
      </c>
      <c r="J5" s="251">
        <v>11</v>
      </c>
      <c r="K5" s="251">
        <v>12</v>
      </c>
      <c r="L5" s="251">
        <v>13</v>
      </c>
      <c r="M5" s="251">
        <v>14</v>
      </c>
    </row>
    <row r="6" spans="1:13" ht="15" customHeight="1" x14ac:dyDescent="0.3">
      <c r="A6" s="223">
        <f ca="1">A6:M1471</f>
        <v>0</v>
      </c>
      <c r="B6" s="242">
        <v>2</v>
      </c>
      <c r="C6" s="243" t="s">
        <v>162</v>
      </c>
      <c r="D6" s="224">
        <v>1.2</v>
      </c>
      <c r="E6" s="229">
        <v>12.6</v>
      </c>
      <c r="F6" s="229">
        <v>20</v>
      </c>
      <c r="G6" s="229">
        <v>7.4</v>
      </c>
      <c r="H6" s="227" t="s">
        <v>168</v>
      </c>
      <c r="I6" s="246"/>
      <c r="J6" s="246"/>
      <c r="K6" s="246"/>
      <c r="L6" s="247">
        <v>10</v>
      </c>
      <c r="M6" s="247"/>
    </row>
    <row r="7" spans="1:13" ht="15" hidden="1" customHeight="1" x14ac:dyDescent="0.3">
      <c r="A7" s="225">
        <v>3</v>
      </c>
      <c r="B7" s="226">
        <v>13103</v>
      </c>
      <c r="C7" s="227" t="s">
        <v>163</v>
      </c>
      <c r="D7" s="228">
        <v>1</v>
      </c>
      <c r="E7" s="229">
        <v>3.9369999999999998</v>
      </c>
      <c r="F7" s="229">
        <v>5.9039999999999999</v>
      </c>
      <c r="G7" s="229">
        <v>1.9670000000000001</v>
      </c>
      <c r="H7" s="227" t="s">
        <v>164</v>
      </c>
      <c r="I7" s="247"/>
      <c r="J7" s="247">
        <v>0.56999999999999995</v>
      </c>
      <c r="K7" s="247"/>
      <c r="L7" s="247"/>
      <c r="M7" s="247"/>
    </row>
    <row r="8" spans="1:13" ht="15" hidden="1" customHeight="1" x14ac:dyDescent="0.3">
      <c r="A8" s="225">
        <v>5</v>
      </c>
      <c r="B8" s="233">
        <v>11112</v>
      </c>
      <c r="C8" s="234" t="s">
        <v>167</v>
      </c>
      <c r="D8" s="235">
        <v>1</v>
      </c>
      <c r="E8" s="238">
        <v>0</v>
      </c>
      <c r="F8" s="239">
        <v>4.1100000000000003</v>
      </c>
      <c r="G8" s="229">
        <v>4.1100000000000003</v>
      </c>
      <c r="H8" s="227" t="s">
        <v>168</v>
      </c>
      <c r="I8" s="248">
        <v>1.22</v>
      </c>
      <c r="J8" s="248"/>
      <c r="K8" s="248"/>
      <c r="L8" s="248"/>
      <c r="M8" s="248"/>
    </row>
    <row r="9" spans="1:13" ht="15" hidden="1" customHeight="1" x14ac:dyDescent="0.3">
      <c r="A9" s="225">
        <v>6</v>
      </c>
      <c r="B9" s="226">
        <v>13103</v>
      </c>
      <c r="C9" s="227" t="s">
        <v>163</v>
      </c>
      <c r="D9" s="228">
        <v>1</v>
      </c>
      <c r="E9" s="229">
        <v>0</v>
      </c>
      <c r="F9" s="229">
        <v>3.5329999999999999</v>
      </c>
      <c r="G9" s="229">
        <v>3.5329999999999999</v>
      </c>
      <c r="H9" s="227" t="s">
        <v>164</v>
      </c>
      <c r="I9" s="247">
        <v>0</v>
      </c>
      <c r="J9" s="247">
        <v>1.24</v>
      </c>
      <c r="K9" s="247"/>
      <c r="L9" s="247"/>
      <c r="M9" s="247"/>
    </row>
    <row r="10" spans="1:13" ht="15" hidden="1" customHeight="1" x14ac:dyDescent="0.3">
      <c r="A10" s="225">
        <v>8</v>
      </c>
      <c r="B10" s="230">
        <v>57</v>
      </c>
      <c r="C10" s="231" t="s">
        <v>169</v>
      </c>
      <c r="D10" s="223">
        <v>1</v>
      </c>
      <c r="E10" s="232">
        <v>39.756999999999998</v>
      </c>
      <c r="F10" s="232">
        <v>42.853999999999999</v>
      </c>
      <c r="G10" s="232">
        <v>3.0970000000000013</v>
      </c>
      <c r="H10" s="231" t="s">
        <v>171</v>
      </c>
      <c r="I10" s="248">
        <v>1.0900000000000001</v>
      </c>
      <c r="J10" s="248"/>
      <c r="K10" s="248"/>
      <c r="L10" s="248"/>
      <c r="M10" s="248"/>
    </row>
    <row r="11" spans="1:13" ht="15" hidden="1" customHeight="1" x14ac:dyDescent="0.3">
      <c r="A11" s="225">
        <v>9</v>
      </c>
      <c r="B11" s="226">
        <v>13147</v>
      </c>
      <c r="C11" s="227" t="s">
        <v>172</v>
      </c>
      <c r="D11" s="228">
        <v>1</v>
      </c>
      <c r="E11" s="229">
        <v>0</v>
      </c>
      <c r="F11" s="229">
        <v>3.532</v>
      </c>
      <c r="G11" s="229">
        <v>3.532</v>
      </c>
      <c r="H11" s="227" t="s">
        <v>164</v>
      </c>
      <c r="I11" s="247"/>
      <c r="J11" s="247">
        <v>1.04</v>
      </c>
      <c r="K11" s="247"/>
      <c r="L11" s="247"/>
      <c r="M11" s="247"/>
    </row>
    <row r="12" spans="1:13" ht="15" hidden="1" customHeight="1" x14ac:dyDescent="0.3">
      <c r="A12" s="225">
        <v>10</v>
      </c>
      <c r="B12" s="226">
        <v>11345</v>
      </c>
      <c r="C12" s="227" t="s">
        <v>173</v>
      </c>
      <c r="D12" s="228">
        <v>1</v>
      </c>
      <c r="E12" s="229">
        <v>6.742</v>
      </c>
      <c r="F12" s="229">
        <v>7.702</v>
      </c>
      <c r="G12" s="229">
        <v>0.96</v>
      </c>
      <c r="H12" s="227" t="s">
        <v>168</v>
      </c>
      <c r="I12" s="247"/>
      <c r="J12" s="247"/>
      <c r="K12" s="247">
        <v>0.35</v>
      </c>
      <c r="L12" s="247"/>
      <c r="M12" s="247"/>
    </row>
    <row r="13" spans="1:13" ht="15" hidden="1" customHeight="1" x14ac:dyDescent="0.3">
      <c r="A13" s="225">
        <v>11</v>
      </c>
      <c r="B13" s="226">
        <v>13102</v>
      </c>
      <c r="C13" s="227" t="s">
        <v>174</v>
      </c>
      <c r="D13" s="228">
        <v>1</v>
      </c>
      <c r="E13" s="229">
        <v>4.6150000000000002</v>
      </c>
      <c r="F13" s="229">
        <v>7.1870000000000003</v>
      </c>
      <c r="G13" s="229">
        <v>2.5720000000000001</v>
      </c>
      <c r="H13" s="227" t="s">
        <v>164</v>
      </c>
      <c r="I13" s="247"/>
      <c r="J13" s="247">
        <v>0.92</v>
      </c>
      <c r="K13" s="247">
        <v>0</v>
      </c>
      <c r="L13" s="247"/>
      <c r="M13" s="247"/>
    </row>
    <row r="14" spans="1:13" ht="15" hidden="1" customHeight="1" x14ac:dyDescent="0.3">
      <c r="A14" s="225">
        <v>12</v>
      </c>
      <c r="B14" s="226">
        <v>21</v>
      </c>
      <c r="C14" s="227" t="s">
        <v>175</v>
      </c>
      <c r="D14" s="228">
        <v>1</v>
      </c>
      <c r="E14" s="229">
        <v>62.1</v>
      </c>
      <c r="F14" s="229">
        <v>69.688000000000002</v>
      </c>
      <c r="G14" s="229">
        <v>7.588000000000001</v>
      </c>
      <c r="H14" s="227" t="s">
        <v>176</v>
      </c>
      <c r="I14" s="247">
        <v>1.97</v>
      </c>
      <c r="J14" s="247"/>
      <c r="K14" s="247"/>
      <c r="L14" s="247"/>
      <c r="M14" s="247"/>
    </row>
    <row r="15" spans="1:13" ht="15" hidden="1" customHeight="1" x14ac:dyDescent="0.3">
      <c r="A15" s="225">
        <v>15</v>
      </c>
      <c r="B15" s="226">
        <v>13115</v>
      </c>
      <c r="C15" s="227" t="s">
        <v>177</v>
      </c>
      <c r="D15" s="228">
        <v>1</v>
      </c>
      <c r="E15" s="229">
        <v>0</v>
      </c>
      <c r="F15" s="229">
        <v>3.3460000000000001</v>
      </c>
      <c r="G15" s="229">
        <v>3.3460000000000001</v>
      </c>
      <c r="H15" s="227" t="s">
        <v>164</v>
      </c>
      <c r="I15" s="247"/>
      <c r="J15" s="247"/>
      <c r="K15" s="247">
        <v>1.01</v>
      </c>
      <c r="L15" s="247"/>
      <c r="M15" s="247"/>
    </row>
    <row r="16" spans="1:13" ht="15" hidden="1" customHeight="1" x14ac:dyDescent="0.3">
      <c r="A16" s="225">
        <v>16</v>
      </c>
      <c r="B16" s="230">
        <v>57</v>
      </c>
      <c r="C16" s="231" t="s">
        <v>169</v>
      </c>
      <c r="D16" s="223">
        <v>1</v>
      </c>
      <c r="E16" s="232">
        <v>16.734999999999999</v>
      </c>
      <c r="F16" s="232">
        <v>22.635000000000002</v>
      </c>
      <c r="G16" s="232">
        <v>5.9000000000000021</v>
      </c>
      <c r="H16" s="231" t="s">
        <v>178</v>
      </c>
      <c r="I16" s="248"/>
      <c r="J16" s="248"/>
      <c r="K16" s="248">
        <f>1.07-0.362</f>
        <v>0.70800000000000007</v>
      </c>
      <c r="L16" s="248">
        <f>1+0.362</f>
        <v>1.3620000000000001</v>
      </c>
      <c r="M16" s="248"/>
    </row>
    <row r="17" spans="1:13" ht="15" hidden="1" customHeight="1" x14ac:dyDescent="0.3">
      <c r="A17" s="225">
        <v>17</v>
      </c>
      <c r="B17" s="226">
        <v>35</v>
      </c>
      <c r="C17" s="227" t="s">
        <v>179</v>
      </c>
      <c r="D17" s="228">
        <v>1</v>
      </c>
      <c r="E17" s="229">
        <v>0.8</v>
      </c>
      <c r="F17" s="229">
        <v>28.417000000000002</v>
      </c>
      <c r="G17" s="229">
        <v>27.617000000000001</v>
      </c>
      <c r="H17" s="227" t="s">
        <v>164</v>
      </c>
      <c r="I17" s="247">
        <v>0</v>
      </c>
      <c r="J17" s="247">
        <v>1.3</v>
      </c>
      <c r="K17" s="247">
        <v>1</v>
      </c>
      <c r="L17" s="247"/>
      <c r="M17" s="247"/>
    </row>
    <row r="18" spans="1:13" ht="15" hidden="1" customHeight="1" x14ac:dyDescent="0.3">
      <c r="A18" s="225">
        <v>18</v>
      </c>
      <c r="B18" s="226">
        <v>11392</v>
      </c>
      <c r="C18" s="227" t="s">
        <v>180</v>
      </c>
      <c r="D18" s="228">
        <v>1</v>
      </c>
      <c r="E18" s="229">
        <v>0</v>
      </c>
      <c r="F18" s="229">
        <v>4.7050000000000001</v>
      </c>
      <c r="G18" s="229">
        <v>4.7050000000000001</v>
      </c>
      <c r="H18" s="227" t="s">
        <v>168</v>
      </c>
      <c r="I18" s="247"/>
      <c r="J18" s="247">
        <v>1.65</v>
      </c>
      <c r="K18" s="247"/>
      <c r="L18" s="247"/>
      <c r="M18" s="247"/>
    </row>
    <row r="19" spans="1:13" ht="15" hidden="1" customHeight="1" x14ac:dyDescent="0.3">
      <c r="A19" s="225">
        <v>20</v>
      </c>
      <c r="B19" s="226">
        <v>13141</v>
      </c>
      <c r="C19" s="227" t="s">
        <v>181</v>
      </c>
      <c r="D19" s="228">
        <v>1</v>
      </c>
      <c r="E19" s="229">
        <v>0</v>
      </c>
      <c r="F19" s="229">
        <v>0.66</v>
      </c>
      <c r="G19" s="229">
        <v>0.66</v>
      </c>
      <c r="H19" s="227" t="s">
        <v>164</v>
      </c>
      <c r="I19" s="247"/>
      <c r="J19" s="247"/>
      <c r="K19" s="247">
        <v>0.21</v>
      </c>
      <c r="L19" s="247"/>
      <c r="M19" s="247"/>
    </row>
    <row r="20" spans="1:13" ht="15" hidden="1" customHeight="1" x14ac:dyDescent="0.3">
      <c r="A20" s="225">
        <v>22</v>
      </c>
      <c r="B20" s="233">
        <v>93</v>
      </c>
      <c r="C20" s="234" t="s">
        <v>182</v>
      </c>
      <c r="D20" s="235">
        <v>1</v>
      </c>
      <c r="E20" s="238">
        <v>14.361000000000001</v>
      </c>
      <c r="F20" s="238">
        <v>18.661999999999999</v>
      </c>
      <c r="G20" s="229">
        <v>4.3009999999999984</v>
      </c>
      <c r="H20" s="227" t="s">
        <v>164</v>
      </c>
      <c r="I20" s="248">
        <v>1.51</v>
      </c>
      <c r="J20" s="248"/>
      <c r="K20" s="248"/>
      <c r="L20" s="248"/>
      <c r="M20" s="248"/>
    </row>
    <row r="21" spans="1:13" ht="15" hidden="1" customHeight="1" x14ac:dyDescent="0.3">
      <c r="A21" s="225">
        <v>23</v>
      </c>
      <c r="B21" s="230">
        <v>90</v>
      </c>
      <c r="C21" s="231" t="s">
        <v>183</v>
      </c>
      <c r="D21" s="223">
        <v>1</v>
      </c>
      <c r="E21" s="232">
        <v>21.094000000000001</v>
      </c>
      <c r="F21" s="232">
        <v>27.300999999999998</v>
      </c>
      <c r="G21" s="232">
        <v>6.2069999999999972</v>
      </c>
      <c r="H21" s="231" t="s">
        <v>184</v>
      </c>
      <c r="I21" s="248"/>
      <c r="J21" s="248"/>
      <c r="K21" s="248"/>
      <c r="L21" s="248">
        <v>2.17</v>
      </c>
      <c r="M21" s="248"/>
    </row>
    <row r="22" spans="1:13" ht="15" hidden="1" customHeight="1" x14ac:dyDescent="0.3">
      <c r="A22" s="225">
        <v>25</v>
      </c>
      <c r="B22" s="230">
        <v>59</v>
      </c>
      <c r="C22" s="231" t="s">
        <v>185</v>
      </c>
      <c r="D22" s="223">
        <v>1</v>
      </c>
      <c r="E22" s="232">
        <v>16.853000000000002</v>
      </c>
      <c r="F22" s="232">
        <v>21.045000000000002</v>
      </c>
      <c r="G22" s="232">
        <v>4.1920000000000002</v>
      </c>
      <c r="H22" s="231" t="s">
        <v>171</v>
      </c>
      <c r="I22" s="248"/>
      <c r="J22" s="248"/>
      <c r="K22" s="248">
        <v>0</v>
      </c>
      <c r="L22" s="248">
        <f>1.25-0.362</f>
        <v>0.88800000000000001</v>
      </c>
      <c r="M22" s="248"/>
    </row>
    <row r="23" spans="1:13" ht="15" hidden="1" customHeight="1" x14ac:dyDescent="0.3">
      <c r="A23" s="225">
        <v>26</v>
      </c>
      <c r="B23" s="230">
        <v>22103</v>
      </c>
      <c r="C23" s="231" t="s">
        <v>186</v>
      </c>
      <c r="D23" s="223">
        <v>1</v>
      </c>
      <c r="E23" s="232">
        <v>4.2</v>
      </c>
      <c r="F23" s="232">
        <v>7.3319999999999999</v>
      </c>
      <c r="G23" s="232">
        <v>3.1319999999999997</v>
      </c>
      <c r="H23" s="231" t="s">
        <v>166</v>
      </c>
      <c r="I23" s="248"/>
      <c r="J23" s="248">
        <v>1.2</v>
      </c>
      <c r="K23" s="248">
        <v>0</v>
      </c>
      <c r="L23" s="248"/>
      <c r="M23" s="248"/>
    </row>
    <row r="24" spans="1:13" ht="15" hidden="1" customHeight="1" x14ac:dyDescent="0.3">
      <c r="A24" s="225">
        <v>27</v>
      </c>
      <c r="B24" s="226">
        <v>11125</v>
      </c>
      <c r="C24" s="227" t="s">
        <v>187</v>
      </c>
      <c r="D24" s="228">
        <v>1</v>
      </c>
      <c r="E24" s="229">
        <v>24.119</v>
      </c>
      <c r="F24" s="229">
        <v>28.224</v>
      </c>
      <c r="G24" s="229">
        <v>4.1050000000000004</v>
      </c>
      <c r="H24" s="227" t="s">
        <v>188</v>
      </c>
      <c r="I24" s="247">
        <v>0</v>
      </c>
      <c r="J24" s="247">
        <v>1.48</v>
      </c>
      <c r="K24" s="247"/>
      <c r="L24" s="247"/>
      <c r="M24" s="247"/>
    </row>
    <row r="25" spans="1:13" ht="15" hidden="1" customHeight="1" x14ac:dyDescent="0.3">
      <c r="A25" s="225">
        <v>28</v>
      </c>
      <c r="B25" s="230">
        <v>81</v>
      </c>
      <c r="C25" s="231" t="s">
        <v>189</v>
      </c>
      <c r="D25" s="223">
        <v>1</v>
      </c>
      <c r="E25" s="232">
        <v>11.414999999999999</v>
      </c>
      <c r="F25" s="232">
        <v>16.914999999999999</v>
      </c>
      <c r="G25" s="232">
        <v>5.5</v>
      </c>
      <c r="H25" s="231" t="s">
        <v>190</v>
      </c>
      <c r="I25" s="248">
        <v>2.16</v>
      </c>
      <c r="J25" s="248"/>
      <c r="K25" s="248"/>
      <c r="L25" s="248"/>
      <c r="M25" s="248"/>
    </row>
    <row r="26" spans="1:13" ht="15" hidden="1" customHeight="1" x14ac:dyDescent="0.3">
      <c r="A26" s="225">
        <v>29</v>
      </c>
      <c r="B26" s="230">
        <v>7</v>
      </c>
      <c r="C26" s="231" t="s">
        <v>191</v>
      </c>
      <c r="D26" s="223">
        <v>1</v>
      </c>
      <c r="E26" s="232">
        <v>195.565</v>
      </c>
      <c r="F26" s="232">
        <v>208.934</v>
      </c>
      <c r="G26" s="232">
        <v>13.369</v>
      </c>
      <c r="H26" s="231" t="s">
        <v>192</v>
      </c>
      <c r="I26" s="248"/>
      <c r="J26" s="248">
        <v>3.3</v>
      </c>
      <c r="K26" s="248">
        <v>0</v>
      </c>
      <c r="L26" s="248"/>
      <c r="M26" s="248"/>
    </row>
    <row r="27" spans="1:13" ht="15" hidden="1" customHeight="1" x14ac:dyDescent="0.3">
      <c r="A27" s="225">
        <v>31</v>
      </c>
      <c r="B27" s="230">
        <v>90</v>
      </c>
      <c r="C27" s="231" t="s">
        <v>183</v>
      </c>
      <c r="D27" s="223">
        <v>1</v>
      </c>
      <c r="E27" s="232">
        <v>11.295</v>
      </c>
      <c r="F27" s="232">
        <v>21.094000000000001</v>
      </c>
      <c r="G27" s="232">
        <v>9.7990000000000013</v>
      </c>
      <c r="H27" s="231" t="s">
        <v>184</v>
      </c>
      <c r="I27" s="248"/>
      <c r="J27" s="248">
        <f>2.43-1.36</f>
        <v>1.07</v>
      </c>
      <c r="K27" s="248">
        <f>1+1.362</f>
        <v>2.3620000000000001</v>
      </c>
      <c r="L27" s="248"/>
      <c r="M27" s="248"/>
    </row>
    <row r="28" spans="1:13" ht="15" hidden="1" customHeight="1" x14ac:dyDescent="0.3">
      <c r="A28" s="225">
        <v>32</v>
      </c>
      <c r="B28" s="230">
        <v>19278</v>
      </c>
      <c r="C28" s="231" t="s">
        <v>193</v>
      </c>
      <c r="D28" s="223">
        <v>1</v>
      </c>
      <c r="E28" s="232">
        <v>0</v>
      </c>
      <c r="F28" s="232">
        <v>3.6589999999999998</v>
      </c>
      <c r="G28" s="232">
        <v>3.6589999999999998</v>
      </c>
      <c r="H28" s="231" t="s">
        <v>171</v>
      </c>
      <c r="I28" s="247"/>
      <c r="J28" s="247"/>
      <c r="K28" s="247"/>
      <c r="L28" s="247"/>
      <c r="M28" s="247">
        <v>1.1100000000000001</v>
      </c>
    </row>
    <row r="29" spans="1:13" ht="15" hidden="1" customHeight="1" x14ac:dyDescent="0.3">
      <c r="A29" s="225">
        <v>35</v>
      </c>
      <c r="B29" s="230">
        <v>90</v>
      </c>
      <c r="C29" s="231" t="s">
        <v>183</v>
      </c>
      <c r="D29" s="223">
        <v>1</v>
      </c>
      <c r="E29" s="232">
        <v>27.300999999999998</v>
      </c>
      <c r="F29" s="232">
        <v>34.219000000000001</v>
      </c>
      <c r="G29" s="232">
        <v>6.9180000000000028</v>
      </c>
      <c r="H29" s="231" t="s">
        <v>184</v>
      </c>
      <c r="I29" s="248"/>
      <c r="J29" s="248">
        <v>1</v>
      </c>
      <c r="K29" s="248">
        <v>1.42</v>
      </c>
      <c r="L29" s="248"/>
      <c r="M29" s="248"/>
    </row>
    <row r="30" spans="1:13" ht="15" hidden="1" customHeight="1" x14ac:dyDescent="0.3">
      <c r="A30" s="225">
        <v>36</v>
      </c>
      <c r="B30" s="230">
        <v>45</v>
      </c>
      <c r="C30" s="231" t="s">
        <v>195</v>
      </c>
      <c r="D30" s="223">
        <v>1</v>
      </c>
      <c r="E30" s="232">
        <v>69.626999999999995</v>
      </c>
      <c r="F30" s="232">
        <v>78.251999999999995</v>
      </c>
      <c r="G30" s="232">
        <v>8.625</v>
      </c>
      <c r="H30" s="231" t="s">
        <v>184</v>
      </c>
      <c r="I30" s="248">
        <v>0</v>
      </c>
      <c r="J30" s="248">
        <f>3.04-1</f>
        <v>2.04</v>
      </c>
      <c r="K30" s="248">
        <f>1</f>
        <v>1</v>
      </c>
      <c r="L30" s="248"/>
      <c r="M30" s="248"/>
    </row>
    <row r="31" spans="1:13" ht="15" hidden="1" customHeight="1" x14ac:dyDescent="0.3">
      <c r="A31" s="225">
        <v>38</v>
      </c>
      <c r="B31" s="230">
        <v>59</v>
      </c>
      <c r="C31" s="231" t="s">
        <v>185</v>
      </c>
      <c r="D31" s="223">
        <v>1</v>
      </c>
      <c r="E31" s="232">
        <v>5.9930000000000003</v>
      </c>
      <c r="F31" s="232">
        <v>12.1</v>
      </c>
      <c r="G31" s="232">
        <v>6.1069999999999993</v>
      </c>
      <c r="H31" s="231" t="s">
        <v>171</v>
      </c>
      <c r="I31" s="248"/>
      <c r="J31" s="248">
        <v>2.02</v>
      </c>
      <c r="K31" s="248">
        <v>0</v>
      </c>
      <c r="L31" s="248"/>
      <c r="M31" s="248"/>
    </row>
    <row r="32" spans="1:13" ht="15" hidden="1" customHeight="1" x14ac:dyDescent="0.3">
      <c r="A32" s="225">
        <v>39</v>
      </c>
      <c r="B32" s="230">
        <v>22132</v>
      </c>
      <c r="C32" s="231" t="s">
        <v>165</v>
      </c>
      <c r="D32" s="223">
        <v>1</v>
      </c>
      <c r="E32" s="232">
        <v>5.59</v>
      </c>
      <c r="F32" s="232">
        <v>6.1859999999999999</v>
      </c>
      <c r="G32" s="232">
        <v>0.59600000000000009</v>
      </c>
      <c r="H32" s="231" t="s">
        <v>166</v>
      </c>
      <c r="I32" s="248"/>
      <c r="J32" s="248"/>
      <c r="K32" s="248">
        <v>0.21</v>
      </c>
      <c r="L32" s="248"/>
      <c r="M32" s="248"/>
    </row>
    <row r="33" spans="1:13" ht="15" hidden="1" customHeight="1" x14ac:dyDescent="0.3">
      <c r="A33" s="225">
        <v>43</v>
      </c>
      <c r="B33" s="226">
        <v>88</v>
      </c>
      <c r="C33" s="227" t="s">
        <v>197</v>
      </c>
      <c r="D33" s="228">
        <v>1</v>
      </c>
      <c r="E33" s="229">
        <v>33.073</v>
      </c>
      <c r="F33" s="229">
        <v>36.206000000000003</v>
      </c>
      <c r="G33" s="229">
        <v>3.1330000000000027</v>
      </c>
      <c r="H33" s="227" t="s">
        <v>198</v>
      </c>
      <c r="I33" s="247"/>
      <c r="J33" s="247"/>
      <c r="K33" s="247">
        <v>0.95</v>
      </c>
      <c r="L33" s="247"/>
      <c r="M33" s="247"/>
    </row>
    <row r="34" spans="1:13" ht="15" hidden="1" customHeight="1" x14ac:dyDescent="0.3">
      <c r="A34" s="225">
        <v>44</v>
      </c>
      <c r="B34" s="230">
        <v>45</v>
      </c>
      <c r="C34" s="231" t="s">
        <v>195</v>
      </c>
      <c r="D34" s="223">
        <v>1</v>
      </c>
      <c r="E34" s="232">
        <v>78.251999999999995</v>
      </c>
      <c r="F34" s="232">
        <v>85.613</v>
      </c>
      <c r="G34" s="232">
        <v>7.3610000000000042</v>
      </c>
      <c r="H34" s="231" t="s">
        <v>184</v>
      </c>
      <c r="I34" s="248"/>
      <c r="J34" s="248"/>
      <c r="K34" s="248"/>
      <c r="L34" s="248">
        <f>0.548</f>
        <v>0.54800000000000004</v>
      </c>
      <c r="M34" s="248">
        <f>2.052</f>
        <v>2.052</v>
      </c>
    </row>
    <row r="35" spans="1:13" ht="15" hidden="1" customHeight="1" x14ac:dyDescent="0.3">
      <c r="A35" s="225">
        <v>45</v>
      </c>
      <c r="B35" s="230">
        <v>36</v>
      </c>
      <c r="C35" s="231" t="s">
        <v>199</v>
      </c>
      <c r="D35" s="223">
        <v>1</v>
      </c>
      <c r="E35" s="232">
        <v>33.700000000000003</v>
      </c>
      <c r="F35" s="232">
        <v>38.909999999999997</v>
      </c>
      <c r="G35" s="232">
        <v>5.2099999999999937</v>
      </c>
      <c r="H35" s="231" t="s">
        <v>176</v>
      </c>
      <c r="I35" s="248"/>
      <c r="J35" s="248">
        <v>1.135</v>
      </c>
      <c r="K35" s="248">
        <v>0.95599999999999996</v>
      </c>
      <c r="L35" s="248">
        <v>0</v>
      </c>
      <c r="M35" s="248"/>
    </row>
    <row r="36" spans="1:13" ht="15" hidden="1" customHeight="1" x14ac:dyDescent="0.3">
      <c r="A36" s="225">
        <v>46</v>
      </c>
      <c r="B36" s="230">
        <v>6</v>
      </c>
      <c r="C36" s="231" t="s">
        <v>200</v>
      </c>
      <c r="D36" s="223">
        <v>1</v>
      </c>
      <c r="E36" s="232">
        <v>75.129000000000005</v>
      </c>
      <c r="F36" s="232">
        <v>82.792000000000002</v>
      </c>
      <c r="G36" s="232">
        <v>7.6629999999999967</v>
      </c>
      <c r="H36" s="231" t="s">
        <v>178</v>
      </c>
      <c r="I36" s="248"/>
      <c r="J36" s="248"/>
      <c r="K36" s="248"/>
      <c r="L36" s="248">
        <v>2.67</v>
      </c>
      <c r="M36" s="248"/>
    </row>
    <row r="37" spans="1:13" ht="15" hidden="1" customHeight="1" x14ac:dyDescent="0.3">
      <c r="A37" s="225">
        <v>47</v>
      </c>
      <c r="B37" s="226">
        <v>17142</v>
      </c>
      <c r="C37" s="227" t="s">
        <v>201</v>
      </c>
      <c r="D37" s="228">
        <v>1</v>
      </c>
      <c r="E37" s="229">
        <v>11.468999999999999</v>
      </c>
      <c r="F37" s="229">
        <v>14.519</v>
      </c>
      <c r="G37" s="229">
        <v>3.0500000000000007</v>
      </c>
      <c r="H37" s="227" t="s">
        <v>198</v>
      </c>
      <c r="I37" s="247"/>
      <c r="J37" s="247"/>
      <c r="K37" s="247"/>
      <c r="L37" s="247">
        <v>0.89</v>
      </c>
      <c r="M37" s="247"/>
    </row>
    <row r="38" spans="1:13" ht="15" hidden="1" customHeight="1" x14ac:dyDescent="0.3">
      <c r="A38" s="225">
        <v>48</v>
      </c>
      <c r="B38" s="230">
        <v>63</v>
      </c>
      <c r="C38" s="231" t="s">
        <v>202</v>
      </c>
      <c r="D38" s="223">
        <v>1</v>
      </c>
      <c r="E38" s="232">
        <v>0</v>
      </c>
      <c r="F38" s="232">
        <v>3.1829999999999998</v>
      </c>
      <c r="G38" s="232">
        <v>3.1829999999999998</v>
      </c>
      <c r="H38" s="231" t="s">
        <v>184</v>
      </c>
      <c r="I38" s="248"/>
      <c r="J38" s="248"/>
      <c r="K38" s="248"/>
      <c r="L38" s="248">
        <v>1.0900000000000001</v>
      </c>
      <c r="M38" s="248"/>
    </row>
    <row r="39" spans="1:13" ht="15" hidden="1" customHeight="1" x14ac:dyDescent="0.3">
      <c r="A39" s="225">
        <v>49</v>
      </c>
      <c r="B39" s="230">
        <v>38</v>
      </c>
      <c r="C39" s="231" t="s">
        <v>203</v>
      </c>
      <c r="D39" s="223">
        <v>1</v>
      </c>
      <c r="E39" s="232">
        <v>21.021999999999998</v>
      </c>
      <c r="F39" s="232">
        <v>27.574999999999999</v>
      </c>
      <c r="G39" s="232">
        <v>6.5530000000000008</v>
      </c>
      <c r="H39" s="231" t="s">
        <v>178</v>
      </c>
      <c r="I39" s="248"/>
      <c r="J39" s="248"/>
      <c r="K39" s="248"/>
      <c r="L39" s="248"/>
      <c r="M39" s="248">
        <v>2.0099999999999998</v>
      </c>
    </row>
    <row r="40" spans="1:13" ht="15" hidden="1" customHeight="1" x14ac:dyDescent="0.3">
      <c r="A40" s="225">
        <v>51</v>
      </c>
      <c r="B40" s="230">
        <v>36</v>
      </c>
      <c r="C40" s="231" t="s">
        <v>199</v>
      </c>
      <c r="D40" s="223">
        <v>1</v>
      </c>
      <c r="E40" s="232">
        <v>25.724</v>
      </c>
      <c r="F40" s="232">
        <v>33.700000000000003</v>
      </c>
      <c r="G40" s="232">
        <v>7.9760000000000026</v>
      </c>
      <c r="H40" s="231" t="s">
        <v>176</v>
      </c>
      <c r="I40" s="248"/>
      <c r="J40" s="248">
        <v>2.798</v>
      </c>
      <c r="K40" s="248"/>
      <c r="L40" s="248"/>
      <c r="M40" s="248"/>
    </row>
    <row r="41" spans="1:13" ht="15" hidden="1" customHeight="1" x14ac:dyDescent="0.3">
      <c r="A41" s="225">
        <v>53</v>
      </c>
      <c r="B41" s="230">
        <v>70</v>
      </c>
      <c r="C41" s="231" t="s">
        <v>204</v>
      </c>
      <c r="D41" s="223">
        <v>1</v>
      </c>
      <c r="E41" s="232">
        <v>1.008</v>
      </c>
      <c r="F41" s="232">
        <v>6.9420000000000002</v>
      </c>
      <c r="G41" s="232">
        <v>5.9340000000000002</v>
      </c>
      <c r="H41" s="231" t="s">
        <v>192</v>
      </c>
      <c r="I41" s="248"/>
      <c r="J41" s="248"/>
      <c r="K41" s="248"/>
      <c r="L41" s="248">
        <v>2.09</v>
      </c>
      <c r="M41" s="248"/>
    </row>
    <row r="42" spans="1:13" ht="15" hidden="1" customHeight="1" x14ac:dyDescent="0.3">
      <c r="A42" s="225">
        <v>54</v>
      </c>
      <c r="B42" s="226">
        <v>91</v>
      </c>
      <c r="C42" s="227" t="s">
        <v>205</v>
      </c>
      <c r="D42" s="228">
        <v>1</v>
      </c>
      <c r="E42" s="229">
        <v>19.081</v>
      </c>
      <c r="F42" s="229">
        <v>26.334</v>
      </c>
      <c r="G42" s="229">
        <v>7.2530000000000001</v>
      </c>
      <c r="H42" s="227" t="s">
        <v>164</v>
      </c>
      <c r="I42" s="247"/>
      <c r="J42" s="247"/>
      <c r="K42" s="247">
        <v>1.54</v>
      </c>
      <c r="L42" s="247"/>
      <c r="M42" s="247"/>
    </row>
    <row r="43" spans="1:13" ht="15" hidden="1" customHeight="1" x14ac:dyDescent="0.3">
      <c r="A43" s="225">
        <v>57</v>
      </c>
      <c r="B43" s="226">
        <v>11152</v>
      </c>
      <c r="C43" s="227" t="s">
        <v>206</v>
      </c>
      <c r="D43" s="228">
        <v>1</v>
      </c>
      <c r="E43" s="229">
        <v>2.8</v>
      </c>
      <c r="F43" s="229">
        <v>5.0049999999999999</v>
      </c>
      <c r="G43" s="229">
        <v>2.2050000000000001</v>
      </c>
      <c r="H43" s="227" t="s">
        <v>168</v>
      </c>
      <c r="I43" s="247"/>
      <c r="J43" s="247"/>
      <c r="K43" s="247">
        <v>0.67</v>
      </c>
      <c r="L43" s="247"/>
      <c r="M43" s="247"/>
    </row>
    <row r="44" spans="1:13" ht="15" hidden="1" customHeight="1" x14ac:dyDescent="0.3">
      <c r="A44" s="225">
        <v>58</v>
      </c>
      <c r="B44" s="230">
        <v>89</v>
      </c>
      <c r="C44" s="231" t="s">
        <v>207</v>
      </c>
      <c r="D44" s="223">
        <v>1</v>
      </c>
      <c r="E44" s="232">
        <v>0</v>
      </c>
      <c r="F44" s="232">
        <v>9.1</v>
      </c>
      <c r="G44" s="232">
        <f>F44-E44</f>
        <v>9.1</v>
      </c>
      <c r="H44" s="231" t="s">
        <v>184</v>
      </c>
      <c r="I44" s="248">
        <v>3.24</v>
      </c>
      <c r="J44" s="248"/>
      <c r="K44" s="248"/>
      <c r="L44" s="248"/>
      <c r="M44" s="248"/>
    </row>
    <row r="45" spans="1:13" ht="15" hidden="1" customHeight="1" x14ac:dyDescent="0.3">
      <c r="A45" s="225">
        <v>59</v>
      </c>
      <c r="B45" s="230">
        <v>61</v>
      </c>
      <c r="C45" s="231" t="s">
        <v>208</v>
      </c>
      <c r="D45" s="223">
        <v>1</v>
      </c>
      <c r="E45" s="232">
        <v>16.920000000000002</v>
      </c>
      <c r="F45" s="232">
        <v>22.151</v>
      </c>
      <c r="G45" s="232">
        <v>5.2309999999999981</v>
      </c>
      <c r="H45" s="231" t="s">
        <v>184</v>
      </c>
      <c r="I45" s="248"/>
      <c r="J45" s="248">
        <v>1.79</v>
      </c>
      <c r="K45" s="248"/>
      <c r="L45" s="248"/>
      <c r="M45" s="248"/>
    </row>
    <row r="46" spans="1:13" ht="15" hidden="1" customHeight="1" x14ac:dyDescent="0.3">
      <c r="A46" s="225">
        <v>60</v>
      </c>
      <c r="B46" s="230">
        <v>81</v>
      </c>
      <c r="C46" s="231" t="s">
        <v>189</v>
      </c>
      <c r="D46" s="223">
        <v>1</v>
      </c>
      <c r="E46" s="232">
        <v>16.914999999999999</v>
      </c>
      <c r="F46" s="232">
        <v>21.69</v>
      </c>
      <c r="G46" s="232">
        <v>4.7750000000000021</v>
      </c>
      <c r="H46" s="231" t="s">
        <v>190</v>
      </c>
      <c r="I46" s="247"/>
      <c r="J46" s="247"/>
      <c r="K46" s="247">
        <v>1.45</v>
      </c>
      <c r="L46" s="247">
        <v>0</v>
      </c>
      <c r="M46" s="247"/>
    </row>
    <row r="47" spans="1:13" ht="15" hidden="1" customHeight="1" x14ac:dyDescent="0.3">
      <c r="A47" s="225">
        <v>61</v>
      </c>
      <c r="B47" s="230">
        <v>17</v>
      </c>
      <c r="C47" s="231" t="s">
        <v>209</v>
      </c>
      <c r="D47" s="223">
        <v>1</v>
      </c>
      <c r="E47" s="232">
        <v>44.694000000000003</v>
      </c>
      <c r="F47" s="232">
        <v>54.890999999999998</v>
      </c>
      <c r="G47" s="232">
        <v>10.196999999999996</v>
      </c>
      <c r="H47" s="231" t="s">
        <v>170</v>
      </c>
      <c r="I47" s="248"/>
      <c r="J47" s="248"/>
      <c r="K47" s="248">
        <v>3.1</v>
      </c>
      <c r="L47" s="248"/>
      <c r="M47" s="248"/>
    </row>
    <row r="48" spans="1:13" ht="15" hidden="1" customHeight="1" x14ac:dyDescent="0.3">
      <c r="A48" s="225">
        <v>62</v>
      </c>
      <c r="B48" s="230">
        <v>25194</v>
      </c>
      <c r="C48" s="231" t="s">
        <v>210</v>
      </c>
      <c r="D48" s="223">
        <v>1</v>
      </c>
      <c r="E48" s="232">
        <v>0</v>
      </c>
      <c r="F48" s="232">
        <v>1.198</v>
      </c>
      <c r="G48" s="232">
        <v>1.198</v>
      </c>
      <c r="H48" s="231" t="s">
        <v>192</v>
      </c>
      <c r="I48" s="247"/>
      <c r="J48" s="247"/>
      <c r="K48" s="247"/>
      <c r="L48" s="247">
        <v>0.45</v>
      </c>
      <c r="M48" s="247"/>
    </row>
    <row r="49" spans="1:13" ht="15" hidden="1" customHeight="1" x14ac:dyDescent="0.3">
      <c r="A49" s="225">
        <v>63</v>
      </c>
      <c r="B49" s="226">
        <v>93</v>
      </c>
      <c r="C49" s="227" t="s">
        <v>182</v>
      </c>
      <c r="D49" s="228">
        <v>1</v>
      </c>
      <c r="E49" s="229">
        <v>0</v>
      </c>
      <c r="F49" s="229">
        <v>0.45900000000000002</v>
      </c>
      <c r="G49" s="229">
        <v>0.45900000000000002</v>
      </c>
      <c r="H49" s="227" t="s">
        <v>164</v>
      </c>
      <c r="I49" s="247"/>
      <c r="J49" s="247"/>
      <c r="K49" s="247">
        <v>0.16</v>
      </c>
      <c r="L49" s="247"/>
      <c r="M49" s="247"/>
    </row>
    <row r="50" spans="1:13" ht="15" hidden="1" customHeight="1" x14ac:dyDescent="0.3">
      <c r="A50" s="225">
        <v>64</v>
      </c>
      <c r="B50" s="226">
        <v>11202</v>
      </c>
      <c r="C50" s="227" t="s">
        <v>211</v>
      </c>
      <c r="D50" s="228">
        <v>1</v>
      </c>
      <c r="E50" s="229">
        <v>25.25</v>
      </c>
      <c r="F50" s="229">
        <v>26.901</v>
      </c>
      <c r="G50" s="229">
        <v>1.6509999999999998</v>
      </c>
      <c r="H50" s="227" t="s">
        <v>212</v>
      </c>
      <c r="I50" s="247"/>
      <c r="J50" s="247"/>
      <c r="K50" s="247"/>
      <c r="L50" s="247">
        <v>0.59</v>
      </c>
      <c r="M50" s="247"/>
    </row>
    <row r="51" spans="1:13" ht="15" hidden="1" customHeight="1" x14ac:dyDescent="0.3">
      <c r="A51" s="225">
        <v>65</v>
      </c>
      <c r="B51" s="226">
        <v>11306</v>
      </c>
      <c r="C51" s="227" t="s">
        <v>213</v>
      </c>
      <c r="D51" s="228">
        <v>1</v>
      </c>
      <c r="E51" s="229">
        <v>0</v>
      </c>
      <c r="F51" s="229">
        <v>1.758</v>
      </c>
      <c r="G51" s="229">
        <v>1.758</v>
      </c>
      <c r="H51" s="227" t="s">
        <v>168</v>
      </c>
      <c r="I51" s="247"/>
      <c r="J51" s="247"/>
      <c r="K51" s="247"/>
      <c r="L51" s="247">
        <v>0.5</v>
      </c>
      <c r="M51" s="247"/>
    </row>
    <row r="52" spans="1:13" ht="15" hidden="1" customHeight="1" x14ac:dyDescent="0.3">
      <c r="A52" s="225">
        <v>66</v>
      </c>
      <c r="B52" s="230">
        <v>43</v>
      </c>
      <c r="C52" s="231" t="s">
        <v>214</v>
      </c>
      <c r="D52" s="223">
        <v>1</v>
      </c>
      <c r="E52" s="232">
        <v>30.739000000000001</v>
      </c>
      <c r="F52" s="232">
        <v>40.750999999999998</v>
      </c>
      <c r="G52" s="232">
        <v>10.011999999999997</v>
      </c>
      <c r="H52" s="237" t="s">
        <v>215</v>
      </c>
      <c r="I52" s="248"/>
      <c r="J52" s="248"/>
      <c r="K52" s="248">
        <f>3.547-1.822</f>
        <v>1.7250000000000001</v>
      </c>
      <c r="L52" s="248">
        <f>1.822</f>
        <v>1.8220000000000001</v>
      </c>
      <c r="M52" s="248"/>
    </row>
    <row r="53" spans="1:13" ht="15" hidden="1" customHeight="1" x14ac:dyDescent="0.3">
      <c r="A53" s="225">
        <v>67</v>
      </c>
      <c r="B53" s="230">
        <v>43</v>
      </c>
      <c r="C53" s="231" t="s">
        <v>214</v>
      </c>
      <c r="D53" s="223">
        <v>1</v>
      </c>
      <c r="E53" s="232">
        <v>20.87</v>
      </c>
      <c r="F53" s="232">
        <v>30.739000000000001</v>
      </c>
      <c r="G53" s="232">
        <v>9.8689999999999998</v>
      </c>
      <c r="H53" s="231" t="s">
        <v>166</v>
      </c>
      <c r="I53" s="248">
        <v>2.23</v>
      </c>
      <c r="J53" s="248"/>
      <c r="K53" s="248"/>
      <c r="L53" s="248"/>
      <c r="M53" s="248"/>
    </row>
    <row r="54" spans="1:13" ht="15" hidden="1" customHeight="1" x14ac:dyDescent="0.3">
      <c r="A54" s="223">
        <v>68</v>
      </c>
      <c r="B54" s="230">
        <v>65</v>
      </c>
      <c r="C54" s="231" t="s">
        <v>216</v>
      </c>
      <c r="D54" s="223">
        <v>1</v>
      </c>
      <c r="E54" s="232">
        <v>35.006999999999998</v>
      </c>
      <c r="F54" s="232">
        <v>43.4</v>
      </c>
      <c r="G54" s="232">
        <v>8.3930000000000007</v>
      </c>
      <c r="H54" s="231" t="s">
        <v>184</v>
      </c>
      <c r="I54" s="247"/>
      <c r="J54" s="247"/>
      <c r="K54" s="247">
        <v>1.6E-2</v>
      </c>
      <c r="L54" s="247">
        <v>2.5139999999999998</v>
      </c>
      <c r="M54" s="247"/>
    </row>
    <row r="55" spans="1:13" ht="15" hidden="1" customHeight="1" x14ac:dyDescent="0.3">
      <c r="A55" s="225">
        <v>69</v>
      </c>
      <c r="B55" s="226">
        <v>33</v>
      </c>
      <c r="C55" s="227" t="s">
        <v>217</v>
      </c>
      <c r="D55" s="228">
        <v>1</v>
      </c>
      <c r="E55" s="229">
        <v>1.637</v>
      </c>
      <c r="F55" s="229">
        <v>3.4140000000000001</v>
      </c>
      <c r="G55" s="229">
        <v>1.7770000000000001</v>
      </c>
      <c r="H55" s="227" t="s">
        <v>164</v>
      </c>
      <c r="I55" s="247"/>
      <c r="J55" s="247"/>
      <c r="K55" s="247">
        <v>0.68</v>
      </c>
      <c r="L55" s="247"/>
      <c r="M55" s="247"/>
    </row>
    <row r="56" spans="1:13" ht="15" hidden="1" customHeight="1" x14ac:dyDescent="0.3">
      <c r="A56" s="223">
        <v>70</v>
      </c>
      <c r="B56" s="226">
        <v>21</v>
      </c>
      <c r="C56" s="227" t="s">
        <v>175</v>
      </c>
      <c r="D56" s="228">
        <v>1</v>
      </c>
      <c r="E56" s="229">
        <v>36</v>
      </c>
      <c r="F56" s="229">
        <v>44.503</v>
      </c>
      <c r="G56" s="229">
        <v>8.5030000000000001</v>
      </c>
      <c r="H56" s="227" t="s">
        <v>198</v>
      </c>
      <c r="I56" s="247"/>
      <c r="J56" s="247"/>
      <c r="K56" s="247">
        <v>3.05</v>
      </c>
      <c r="L56" s="247"/>
      <c r="M56" s="247"/>
    </row>
    <row r="57" spans="1:13" ht="15" hidden="1" customHeight="1" x14ac:dyDescent="0.3">
      <c r="A57" s="225">
        <v>71</v>
      </c>
      <c r="B57" s="226">
        <v>11280</v>
      </c>
      <c r="C57" s="227" t="s">
        <v>218</v>
      </c>
      <c r="D57" s="228">
        <v>1</v>
      </c>
      <c r="E57" s="229">
        <v>0</v>
      </c>
      <c r="F57" s="229">
        <v>1.1000000000000001</v>
      </c>
      <c r="G57" s="229">
        <v>1.1000000000000001</v>
      </c>
      <c r="H57" s="227" t="s">
        <v>168</v>
      </c>
      <c r="I57" s="247"/>
      <c r="J57" s="247">
        <v>0.38</v>
      </c>
      <c r="K57" s="247"/>
      <c r="L57" s="247"/>
      <c r="M57" s="247"/>
    </row>
    <row r="58" spans="1:13" ht="15" hidden="1" customHeight="1" x14ac:dyDescent="0.3">
      <c r="A58" s="223">
        <v>72</v>
      </c>
      <c r="B58" s="230">
        <v>49</v>
      </c>
      <c r="C58" s="231" t="s">
        <v>219</v>
      </c>
      <c r="D58" s="223">
        <v>1</v>
      </c>
      <c r="E58" s="232">
        <v>47.978999999999999</v>
      </c>
      <c r="F58" s="232">
        <v>49.119</v>
      </c>
      <c r="G58" s="232">
        <v>1.1400000000000006</v>
      </c>
      <c r="H58" s="231" t="s">
        <v>178</v>
      </c>
      <c r="I58" s="248"/>
      <c r="J58" s="248">
        <v>0.36499999999999999</v>
      </c>
      <c r="K58" s="248"/>
      <c r="L58" s="248"/>
      <c r="M58" s="248"/>
    </row>
    <row r="59" spans="1:13" ht="15" hidden="1" customHeight="1" x14ac:dyDescent="0.3">
      <c r="A59" s="225">
        <v>73</v>
      </c>
      <c r="B59" s="226">
        <v>13101</v>
      </c>
      <c r="C59" s="227" t="s">
        <v>220</v>
      </c>
      <c r="D59" s="228">
        <v>1</v>
      </c>
      <c r="E59" s="229">
        <v>0</v>
      </c>
      <c r="F59" s="229">
        <v>2.94</v>
      </c>
      <c r="G59" s="229">
        <v>2.94</v>
      </c>
      <c r="H59" s="227" t="s">
        <v>164</v>
      </c>
      <c r="I59" s="247"/>
      <c r="J59" s="247"/>
      <c r="K59" s="247">
        <v>1.2</v>
      </c>
      <c r="L59" s="247"/>
      <c r="M59" s="247"/>
    </row>
    <row r="60" spans="1:13" ht="15" hidden="1" customHeight="1" x14ac:dyDescent="0.3">
      <c r="A60" s="223">
        <v>76</v>
      </c>
      <c r="B60" s="230">
        <v>25150</v>
      </c>
      <c r="C60" s="231" t="s">
        <v>221</v>
      </c>
      <c r="D60" s="223">
        <v>1</v>
      </c>
      <c r="E60" s="232">
        <v>7.306</v>
      </c>
      <c r="F60" s="232">
        <v>10.553000000000001</v>
      </c>
      <c r="G60" s="232">
        <v>3.2470000000000008</v>
      </c>
      <c r="H60" s="231" t="s">
        <v>192</v>
      </c>
      <c r="I60" s="248"/>
      <c r="J60" s="248"/>
      <c r="K60" s="248">
        <v>1.25</v>
      </c>
      <c r="L60" s="248"/>
      <c r="M60" s="248"/>
    </row>
    <row r="61" spans="1:13" ht="15" hidden="1" customHeight="1" x14ac:dyDescent="0.3">
      <c r="A61" s="225">
        <v>77</v>
      </c>
      <c r="B61" s="226">
        <v>13126</v>
      </c>
      <c r="C61" s="227" t="s">
        <v>222</v>
      </c>
      <c r="D61" s="228">
        <v>1</v>
      </c>
      <c r="E61" s="229">
        <v>3.5</v>
      </c>
      <c r="F61" s="229">
        <v>10</v>
      </c>
      <c r="G61" s="229">
        <v>6.5</v>
      </c>
      <c r="H61" s="227" t="s">
        <v>164</v>
      </c>
      <c r="I61" s="247">
        <v>2.16</v>
      </c>
      <c r="J61" s="247"/>
      <c r="K61" s="247"/>
      <c r="L61" s="247"/>
      <c r="M61" s="247"/>
    </row>
    <row r="62" spans="1:13" ht="15" hidden="1" customHeight="1" x14ac:dyDescent="0.3">
      <c r="A62" s="225">
        <v>79</v>
      </c>
      <c r="B62" s="230">
        <v>13114</v>
      </c>
      <c r="C62" s="231" t="s">
        <v>223</v>
      </c>
      <c r="D62" s="223">
        <v>1</v>
      </c>
      <c r="E62" s="232">
        <v>4.82</v>
      </c>
      <c r="F62" s="232">
        <v>7.1520000000000001</v>
      </c>
      <c r="G62" s="232">
        <v>2.3319999999999999</v>
      </c>
      <c r="H62" s="231" t="s">
        <v>176</v>
      </c>
      <c r="I62" s="247"/>
      <c r="J62" s="247"/>
      <c r="K62" s="247">
        <v>0.69</v>
      </c>
      <c r="L62" s="247"/>
      <c r="M62" s="247"/>
    </row>
    <row r="63" spans="1:13" ht="15" hidden="1" customHeight="1" x14ac:dyDescent="0.3">
      <c r="A63" s="223">
        <v>80</v>
      </c>
      <c r="B63" s="230">
        <v>17</v>
      </c>
      <c r="C63" s="231" t="s">
        <v>209</v>
      </c>
      <c r="D63" s="223">
        <v>1</v>
      </c>
      <c r="E63" s="232">
        <v>54.890999999999998</v>
      </c>
      <c r="F63" s="232">
        <v>62.819000000000003</v>
      </c>
      <c r="G63" s="232">
        <v>7.9280000000000044</v>
      </c>
      <c r="H63" s="231" t="s">
        <v>170</v>
      </c>
      <c r="I63" s="248"/>
      <c r="J63" s="248"/>
      <c r="K63" s="248">
        <v>2.1160000000000001</v>
      </c>
      <c r="L63" s="248">
        <v>0.27</v>
      </c>
      <c r="M63" s="248"/>
    </row>
    <row r="64" spans="1:13" ht="15" hidden="1" customHeight="1" x14ac:dyDescent="0.3">
      <c r="A64" s="225">
        <v>81</v>
      </c>
      <c r="B64" s="230">
        <v>58</v>
      </c>
      <c r="C64" s="231" t="s">
        <v>224</v>
      </c>
      <c r="D64" s="223">
        <v>1</v>
      </c>
      <c r="E64" s="232">
        <v>0.1</v>
      </c>
      <c r="F64" s="232">
        <v>5.968</v>
      </c>
      <c r="G64" s="232">
        <v>5.8680000000000003</v>
      </c>
      <c r="H64" s="231" t="s">
        <v>171</v>
      </c>
      <c r="I64" s="247"/>
      <c r="J64" s="247"/>
      <c r="K64" s="247">
        <v>1.49</v>
      </c>
      <c r="L64" s="247"/>
      <c r="M64" s="247"/>
    </row>
    <row r="65" spans="1:13" ht="15" hidden="1" customHeight="1" x14ac:dyDescent="0.3">
      <c r="A65" s="225">
        <v>83</v>
      </c>
      <c r="B65" s="226">
        <v>11125</v>
      </c>
      <c r="C65" s="227" t="s">
        <v>187</v>
      </c>
      <c r="D65" s="228">
        <v>1</v>
      </c>
      <c r="E65" s="229">
        <v>6</v>
      </c>
      <c r="F65" s="229">
        <v>10.717000000000001</v>
      </c>
      <c r="G65" s="229">
        <v>4.7170000000000005</v>
      </c>
      <c r="H65" s="227" t="s">
        <v>168</v>
      </c>
      <c r="I65" s="247"/>
      <c r="J65" s="247"/>
      <c r="K65" s="247">
        <v>1.4</v>
      </c>
      <c r="L65" s="247"/>
      <c r="M65" s="247"/>
    </row>
    <row r="66" spans="1:13" ht="15" hidden="1" customHeight="1" x14ac:dyDescent="0.3">
      <c r="A66" s="225">
        <v>85</v>
      </c>
      <c r="B66" s="230">
        <v>90</v>
      </c>
      <c r="C66" s="231" t="s">
        <v>183</v>
      </c>
      <c r="D66" s="223">
        <v>1</v>
      </c>
      <c r="E66" s="232">
        <v>0.28999999999999998</v>
      </c>
      <c r="F66" s="232">
        <v>11.295</v>
      </c>
      <c r="G66" s="232">
        <v>11.005000000000001</v>
      </c>
      <c r="H66" s="231" t="s">
        <v>184</v>
      </c>
      <c r="I66" s="248"/>
      <c r="J66" s="248"/>
      <c r="K66" s="248"/>
      <c r="L66" s="248">
        <v>3.37</v>
      </c>
      <c r="M66" s="248"/>
    </row>
    <row r="67" spans="1:13" ht="15" hidden="1" customHeight="1" x14ac:dyDescent="0.3">
      <c r="A67" s="223">
        <v>86</v>
      </c>
      <c r="B67" s="226">
        <v>20145</v>
      </c>
      <c r="C67" s="227" t="s">
        <v>226</v>
      </c>
      <c r="D67" s="228">
        <v>1</v>
      </c>
      <c r="E67" s="229">
        <v>0</v>
      </c>
      <c r="F67" s="229">
        <v>2.8220000000000001</v>
      </c>
      <c r="G67" s="229">
        <v>2.8220000000000001</v>
      </c>
      <c r="H67" s="227" t="s">
        <v>212</v>
      </c>
      <c r="I67" s="247">
        <v>0.38</v>
      </c>
      <c r="J67" s="247"/>
      <c r="K67" s="247"/>
      <c r="L67" s="247"/>
      <c r="M67" s="247"/>
    </row>
    <row r="68" spans="1:13" hidden="1" x14ac:dyDescent="0.3">
      <c r="A68" s="225">
        <v>87</v>
      </c>
      <c r="B68" s="226">
        <v>21</v>
      </c>
      <c r="C68" s="227" t="s">
        <v>175</v>
      </c>
      <c r="D68" s="228">
        <v>1</v>
      </c>
      <c r="E68" s="229">
        <v>28.946999999999999</v>
      </c>
      <c r="F68" s="229">
        <v>36</v>
      </c>
      <c r="G68" s="229">
        <v>7.0530000000000008</v>
      </c>
      <c r="H68" s="227" t="s">
        <v>198</v>
      </c>
      <c r="I68" s="247"/>
      <c r="J68" s="247"/>
      <c r="K68" s="247">
        <v>2.4700000000000002</v>
      </c>
      <c r="L68" s="247"/>
      <c r="M68" s="247"/>
    </row>
    <row r="69" spans="1:13" ht="15" hidden="1" customHeight="1" x14ac:dyDescent="0.3">
      <c r="A69" s="225">
        <v>89</v>
      </c>
      <c r="B69" s="230">
        <v>65</v>
      </c>
      <c r="C69" s="231" t="s">
        <v>216</v>
      </c>
      <c r="D69" s="223">
        <v>1</v>
      </c>
      <c r="E69" s="232">
        <v>25.895</v>
      </c>
      <c r="F69" s="232">
        <v>35.006999999999998</v>
      </c>
      <c r="G69" s="232">
        <v>9.1119999999999983</v>
      </c>
      <c r="H69" s="231" t="s">
        <v>184</v>
      </c>
      <c r="I69" s="247"/>
      <c r="J69" s="247"/>
      <c r="K69" s="247">
        <v>2.77</v>
      </c>
      <c r="L69" s="247"/>
      <c r="M69" s="247"/>
    </row>
    <row r="70" spans="1:13" ht="15" hidden="1" customHeight="1" x14ac:dyDescent="0.3">
      <c r="A70" s="223">
        <v>90</v>
      </c>
      <c r="B70" s="230">
        <v>62</v>
      </c>
      <c r="C70" s="231" t="s">
        <v>227</v>
      </c>
      <c r="D70" s="223">
        <v>1</v>
      </c>
      <c r="E70" s="232">
        <v>32.707000000000001</v>
      </c>
      <c r="F70" s="232">
        <v>41.655000000000001</v>
      </c>
      <c r="G70" s="232">
        <v>8.9480000000000004</v>
      </c>
      <c r="H70" s="231" t="s">
        <v>184</v>
      </c>
      <c r="I70" s="248"/>
      <c r="J70" s="248"/>
      <c r="K70" s="248">
        <v>2.7</v>
      </c>
      <c r="L70" s="248"/>
      <c r="M70" s="248"/>
    </row>
    <row r="71" spans="1:13" ht="15" hidden="1" customHeight="1" x14ac:dyDescent="0.3">
      <c r="A71" s="225">
        <v>91</v>
      </c>
      <c r="B71" s="230">
        <v>65</v>
      </c>
      <c r="C71" s="231" t="s">
        <v>216</v>
      </c>
      <c r="D71" s="223">
        <v>1</v>
      </c>
      <c r="E71" s="232">
        <v>16.777000000000001</v>
      </c>
      <c r="F71" s="232">
        <v>25.895</v>
      </c>
      <c r="G71" s="232">
        <v>9.1179999999999986</v>
      </c>
      <c r="H71" s="231" t="s">
        <v>184</v>
      </c>
      <c r="I71" s="247"/>
      <c r="J71" s="247"/>
      <c r="K71" s="247">
        <v>2.8</v>
      </c>
      <c r="L71" s="247"/>
      <c r="M71" s="247"/>
    </row>
    <row r="72" spans="1:13" ht="15" hidden="1" customHeight="1" x14ac:dyDescent="0.3">
      <c r="A72" s="223">
        <v>92</v>
      </c>
      <c r="B72" s="230">
        <v>62</v>
      </c>
      <c r="C72" s="231" t="s">
        <v>227</v>
      </c>
      <c r="D72" s="223">
        <v>1</v>
      </c>
      <c r="E72" s="232">
        <v>25.527999999999999</v>
      </c>
      <c r="F72" s="232">
        <v>32.707000000000001</v>
      </c>
      <c r="G72" s="232">
        <v>7.179000000000002</v>
      </c>
      <c r="H72" s="231" t="s">
        <v>184</v>
      </c>
      <c r="I72" s="248"/>
      <c r="J72" s="248"/>
      <c r="K72" s="248">
        <v>2.58</v>
      </c>
      <c r="L72" s="248"/>
      <c r="M72" s="248"/>
    </row>
    <row r="73" spans="1:13" ht="15" hidden="1" customHeight="1" x14ac:dyDescent="0.3">
      <c r="A73" s="225">
        <v>93</v>
      </c>
      <c r="B73" s="226">
        <v>11205</v>
      </c>
      <c r="C73" s="227" t="s">
        <v>228</v>
      </c>
      <c r="D73" s="228">
        <v>1</v>
      </c>
      <c r="E73" s="229">
        <v>0.623</v>
      </c>
      <c r="F73" s="229">
        <v>2.1480000000000001</v>
      </c>
      <c r="G73" s="229">
        <v>1.5250000000000001</v>
      </c>
      <c r="H73" s="227" t="s">
        <v>168</v>
      </c>
      <c r="I73" s="247"/>
      <c r="J73" s="247">
        <v>0.53</v>
      </c>
      <c r="K73" s="247"/>
      <c r="L73" s="247"/>
      <c r="M73" s="247"/>
    </row>
    <row r="74" spans="1:13" ht="15" hidden="1" customHeight="1" x14ac:dyDescent="0.3">
      <c r="A74" s="225">
        <v>95</v>
      </c>
      <c r="B74" s="226">
        <v>11285</v>
      </c>
      <c r="C74" s="227" t="s">
        <v>229</v>
      </c>
      <c r="D74" s="228">
        <v>1</v>
      </c>
      <c r="E74" s="229">
        <v>0</v>
      </c>
      <c r="F74" s="229">
        <v>1</v>
      </c>
      <c r="G74" s="229">
        <v>1</v>
      </c>
      <c r="H74" s="227" t="s">
        <v>168</v>
      </c>
      <c r="I74" s="247"/>
      <c r="J74" s="247">
        <v>0.35</v>
      </c>
      <c r="K74" s="247">
        <v>0</v>
      </c>
      <c r="L74" s="247"/>
      <c r="M74" s="247"/>
    </row>
    <row r="75" spans="1:13" ht="15" hidden="1" customHeight="1" x14ac:dyDescent="0.3">
      <c r="A75" s="225">
        <v>97</v>
      </c>
      <c r="B75" s="230">
        <v>24116</v>
      </c>
      <c r="C75" s="231" t="s">
        <v>230</v>
      </c>
      <c r="D75" s="223">
        <v>1</v>
      </c>
      <c r="E75" s="232">
        <v>0</v>
      </c>
      <c r="F75" s="232">
        <v>6.0860000000000003</v>
      </c>
      <c r="G75" s="232">
        <v>6.0860000000000003</v>
      </c>
      <c r="H75" s="231" t="s">
        <v>178</v>
      </c>
      <c r="I75" s="247"/>
      <c r="J75" s="247"/>
      <c r="K75" s="247">
        <v>0</v>
      </c>
      <c r="L75" s="247">
        <v>1.8480000000000001</v>
      </c>
      <c r="M75" s="247"/>
    </row>
    <row r="76" spans="1:13" ht="15" hidden="1" customHeight="1" x14ac:dyDescent="0.3">
      <c r="A76" s="223">
        <v>98</v>
      </c>
      <c r="B76" s="230">
        <v>92</v>
      </c>
      <c r="C76" s="231" t="s">
        <v>196</v>
      </c>
      <c r="D76" s="223">
        <v>1</v>
      </c>
      <c r="E76" s="232">
        <v>93.048000000000002</v>
      </c>
      <c r="F76" s="232">
        <v>101.268</v>
      </c>
      <c r="G76" s="232">
        <v>8.2199999999999989</v>
      </c>
      <c r="H76" s="231" t="s">
        <v>178</v>
      </c>
      <c r="I76" s="247"/>
      <c r="J76" s="247">
        <v>2.5</v>
      </c>
      <c r="K76" s="247">
        <v>0</v>
      </c>
      <c r="L76" s="247">
        <v>0</v>
      </c>
      <c r="M76" s="247"/>
    </row>
    <row r="77" spans="1:13" ht="15" customHeight="1" x14ac:dyDescent="0.3">
      <c r="A77" s="225">
        <v>99</v>
      </c>
      <c r="B77" s="230">
        <v>5</v>
      </c>
      <c r="C77" s="231" t="s">
        <v>231</v>
      </c>
      <c r="D77" s="223">
        <v>1</v>
      </c>
      <c r="E77" s="232">
        <v>16.12</v>
      </c>
      <c r="F77" s="232">
        <v>28.231000000000002</v>
      </c>
      <c r="G77" s="232">
        <v>12.111000000000001</v>
      </c>
      <c r="H77" s="231" t="s">
        <v>171</v>
      </c>
      <c r="I77" s="247"/>
      <c r="J77" s="247">
        <f>4.66-3.66</f>
        <v>1</v>
      </c>
      <c r="K77" s="247">
        <v>3.66</v>
      </c>
      <c r="L77" s="247">
        <v>0</v>
      </c>
      <c r="M77" s="247"/>
    </row>
    <row r="78" spans="1:13" ht="15" hidden="1" customHeight="1" x14ac:dyDescent="0.3">
      <c r="A78" s="225">
        <v>101</v>
      </c>
      <c r="B78" s="226">
        <v>11162</v>
      </c>
      <c r="C78" s="227" t="s">
        <v>232</v>
      </c>
      <c r="D78" s="228">
        <v>1</v>
      </c>
      <c r="E78" s="229">
        <v>0</v>
      </c>
      <c r="F78" s="229">
        <v>2.8</v>
      </c>
      <c r="G78" s="229">
        <v>2.8</v>
      </c>
      <c r="H78" s="227" t="s">
        <v>168</v>
      </c>
      <c r="I78" s="247"/>
      <c r="J78" s="247">
        <v>0.01</v>
      </c>
      <c r="K78" s="247">
        <v>0.98</v>
      </c>
      <c r="L78" s="247">
        <v>0</v>
      </c>
      <c r="M78" s="247"/>
    </row>
    <row r="79" spans="1:13" ht="15" hidden="1" customHeight="1" x14ac:dyDescent="0.3">
      <c r="A79" s="223">
        <v>102</v>
      </c>
      <c r="B79" s="230">
        <v>22130</v>
      </c>
      <c r="C79" s="231" t="s">
        <v>233</v>
      </c>
      <c r="D79" s="223">
        <v>1</v>
      </c>
      <c r="E79" s="232">
        <v>0.90400000000000003</v>
      </c>
      <c r="F79" s="232">
        <v>3.2839999999999998</v>
      </c>
      <c r="G79" s="232">
        <v>2.38</v>
      </c>
      <c r="H79" s="231" t="s">
        <v>166</v>
      </c>
      <c r="I79" s="247"/>
      <c r="J79" s="247"/>
      <c r="K79" s="247"/>
      <c r="L79" s="247">
        <v>0.8</v>
      </c>
      <c r="M79" s="247"/>
    </row>
    <row r="80" spans="1:13" ht="15" hidden="1" customHeight="1" x14ac:dyDescent="0.3">
      <c r="A80" s="225">
        <v>103</v>
      </c>
      <c r="B80" s="230">
        <v>46</v>
      </c>
      <c r="C80" s="231" t="s">
        <v>234</v>
      </c>
      <c r="D80" s="223">
        <v>1</v>
      </c>
      <c r="E80" s="232">
        <v>26.853999999999999</v>
      </c>
      <c r="F80" s="232">
        <v>33.420999999999999</v>
      </c>
      <c r="G80" s="232">
        <v>6.5670000000000002</v>
      </c>
      <c r="H80" s="231" t="s">
        <v>194</v>
      </c>
      <c r="I80" s="248"/>
      <c r="J80" s="248"/>
      <c r="K80" s="248"/>
      <c r="L80" s="248">
        <v>1.0489999999999999</v>
      </c>
      <c r="M80" s="248"/>
    </row>
    <row r="81" spans="1:13" ht="15" hidden="1" customHeight="1" x14ac:dyDescent="0.3">
      <c r="A81" s="223">
        <v>104</v>
      </c>
      <c r="B81" s="226">
        <v>88</v>
      </c>
      <c r="C81" s="227" t="s">
        <v>197</v>
      </c>
      <c r="D81" s="228">
        <v>1</v>
      </c>
      <c r="E81" s="229">
        <v>10.256</v>
      </c>
      <c r="F81" s="229">
        <v>15.6</v>
      </c>
      <c r="G81" s="229">
        <v>5.3439999999999994</v>
      </c>
      <c r="H81" s="227" t="s">
        <v>198</v>
      </c>
      <c r="I81" s="247"/>
      <c r="J81" s="247"/>
      <c r="K81" s="247">
        <v>1.89</v>
      </c>
      <c r="L81" s="247"/>
      <c r="M81" s="247"/>
    </row>
    <row r="82" spans="1:13" ht="15" hidden="1" customHeight="1" x14ac:dyDescent="0.3">
      <c r="A82" s="225">
        <v>105</v>
      </c>
      <c r="B82" s="226">
        <v>27</v>
      </c>
      <c r="C82" s="227" t="s">
        <v>235</v>
      </c>
      <c r="D82" s="228">
        <v>1</v>
      </c>
      <c r="E82" s="229">
        <v>26.495000000000001</v>
      </c>
      <c r="F82" s="229">
        <v>32.868000000000002</v>
      </c>
      <c r="G82" s="229">
        <v>6.3730000000000011</v>
      </c>
      <c r="H82" s="227" t="s">
        <v>212</v>
      </c>
      <c r="I82" s="247">
        <v>1.9524999999999999</v>
      </c>
      <c r="J82" s="247">
        <v>0.43</v>
      </c>
      <c r="K82" s="247"/>
      <c r="L82" s="247"/>
      <c r="M82" s="247"/>
    </row>
    <row r="83" spans="1:13" ht="15" hidden="1" customHeight="1" x14ac:dyDescent="0.3">
      <c r="A83" s="225">
        <v>107</v>
      </c>
      <c r="B83" s="230">
        <v>69</v>
      </c>
      <c r="C83" s="231" t="s">
        <v>236</v>
      </c>
      <c r="D83" s="223">
        <v>1</v>
      </c>
      <c r="E83" s="232">
        <v>9.2420000000000009</v>
      </c>
      <c r="F83" s="232">
        <v>21.808</v>
      </c>
      <c r="G83" s="232">
        <v>12.565999999999999</v>
      </c>
      <c r="H83" s="231" t="s">
        <v>192</v>
      </c>
      <c r="I83" s="247"/>
      <c r="J83" s="247"/>
      <c r="K83" s="247"/>
      <c r="L83" s="247">
        <v>4.8</v>
      </c>
      <c r="M83" s="247"/>
    </row>
    <row r="84" spans="1:13" ht="15" hidden="1" customHeight="1" x14ac:dyDescent="0.3">
      <c r="A84" s="223">
        <v>108</v>
      </c>
      <c r="B84" s="230">
        <v>17</v>
      </c>
      <c r="C84" s="231" t="s">
        <v>209</v>
      </c>
      <c r="D84" s="223">
        <v>1</v>
      </c>
      <c r="E84" s="232">
        <v>34.793999999999997</v>
      </c>
      <c r="F84" s="232">
        <v>44.694000000000003</v>
      </c>
      <c r="G84" s="232">
        <v>9.9000000000000057</v>
      </c>
      <c r="H84" s="231" t="s">
        <v>170</v>
      </c>
      <c r="I84" s="248"/>
      <c r="J84" s="248"/>
      <c r="K84" s="248"/>
      <c r="L84" s="248"/>
      <c r="M84" s="248">
        <v>3.5</v>
      </c>
    </row>
    <row r="85" spans="1:13" ht="15" hidden="1" customHeight="1" x14ac:dyDescent="0.3">
      <c r="A85" s="225">
        <v>109</v>
      </c>
      <c r="B85" s="230">
        <v>61</v>
      </c>
      <c r="C85" s="231" t="s">
        <v>208</v>
      </c>
      <c r="D85" s="223">
        <v>1</v>
      </c>
      <c r="E85" s="232">
        <v>30.478000000000002</v>
      </c>
      <c r="F85" s="232">
        <v>37.058999999999997</v>
      </c>
      <c r="G85" s="232">
        <v>6.580999999999996</v>
      </c>
      <c r="H85" s="231" t="s">
        <v>166</v>
      </c>
      <c r="I85" s="248"/>
      <c r="J85" s="248"/>
      <c r="K85" s="248"/>
      <c r="L85" s="248"/>
      <c r="M85" s="248">
        <v>2.2999999999999998</v>
      </c>
    </row>
    <row r="86" spans="1:13" ht="15" hidden="1" customHeight="1" x14ac:dyDescent="0.3">
      <c r="A86" s="223">
        <v>110</v>
      </c>
      <c r="B86" s="226">
        <v>13106</v>
      </c>
      <c r="C86" s="227" t="s">
        <v>237</v>
      </c>
      <c r="D86" s="228">
        <v>1</v>
      </c>
      <c r="E86" s="229">
        <v>0</v>
      </c>
      <c r="F86" s="229">
        <v>2.3719999999999999</v>
      </c>
      <c r="G86" s="229">
        <v>2.3719999999999999</v>
      </c>
      <c r="H86" s="227" t="s">
        <v>164</v>
      </c>
      <c r="I86" s="247"/>
      <c r="J86" s="247"/>
      <c r="K86" s="247">
        <v>0.8</v>
      </c>
      <c r="L86" s="247"/>
      <c r="M86" s="247"/>
    </row>
    <row r="87" spans="1:13" ht="15" hidden="1" customHeight="1" x14ac:dyDescent="0.3">
      <c r="A87" s="225">
        <v>111</v>
      </c>
      <c r="B87" s="233">
        <v>20142</v>
      </c>
      <c r="C87" s="234" t="s">
        <v>238</v>
      </c>
      <c r="D87" s="235">
        <v>1</v>
      </c>
      <c r="E87" s="238">
        <v>0</v>
      </c>
      <c r="F87" s="239">
        <v>0.70199999999999996</v>
      </c>
      <c r="G87" s="229">
        <v>0.70199999999999996</v>
      </c>
      <c r="H87" s="227" t="s">
        <v>212</v>
      </c>
      <c r="I87" s="248">
        <v>0.15</v>
      </c>
      <c r="J87" s="248"/>
      <c r="K87" s="248"/>
      <c r="L87" s="248"/>
      <c r="M87" s="248"/>
    </row>
    <row r="88" spans="1:13" ht="15" hidden="1" customHeight="1" x14ac:dyDescent="0.3">
      <c r="A88" s="223">
        <v>112</v>
      </c>
      <c r="B88" s="226">
        <v>29</v>
      </c>
      <c r="C88" s="227" t="s">
        <v>239</v>
      </c>
      <c r="D88" s="228">
        <v>1</v>
      </c>
      <c r="E88" s="229">
        <v>2.5830000000000002</v>
      </c>
      <c r="F88" s="229">
        <v>10.356</v>
      </c>
      <c r="G88" s="229">
        <v>7.7729999999999997</v>
      </c>
      <c r="H88" s="227" t="s">
        <v>212</v>
      </c>
      <c r="I88" s="247"/>
      <c r="J88" s="247"/>
      <c r="K88" s="247">
        <v>1.4450000000000001</v>
      </c>
      <c r="L88" s="247">
        <v>1.2649999999999999</v>
      </c>
      <c r="M88" s="247"/>
    </row>
    <row r="89" spans="1:13" ht="15" hidden="1" customHeight="1" x14ac:dyDescent="0.3">
      <c r="A89" s="225">
        <v>113</v>
      </c>
      <c r="B89" s="226">
        <v>11161</v>
      </c>
      <c r="C89" s="227" t="s">
        <v>240</v>
      </c>
      <c r="D89" s="228">
        <v>1</v>
      </c>
      <c r="E89" s="229">
        <v>3.6019999999999999</v>
      </c>
      <c r="F89" s="229">
        <v>4.7210000000000001</v>
      </c>
      <c r="G89" s="229">
        <v>1.1190000000000002</v>
      </c>
      <c r="H89" s="227" t="s">
        <v>168</v>
      </c>
      <c r="I89" s="247"/>
      <c r="J89" s="247"/>
      <c r="K89" s="247">
        <v>0.4</v>
      </c>
      <c r="L89" s="247"/>
      <c r="M89" s="247"/>
    </row>
    <row r="90" spans="1:13" x14ac:dyDescent="0.3">
      <c r="A90" s="223">
        <v>114</v>
      </c>
      <c r="B90" s="230">
        <v>10</v>
      </c>
      <c r="C90" s="231" t="s">
        <v>225</v>
      </c>
      <c r="D90" s="223">
        <v>1</v>
      </c>
      <c r="E90" s="232">
        <v>129.208</v>
      </c>
      <c r="F90" s="240">
        <v>141.4</v>
      </c>
      <c r="G90" s="232">
        <v>12.192000000000007</v>
      </c>
      <c r="H90" s="231" t="s">
        <v>241</v>
      </c>
      <c r="I90" s="247">
        <v>3.0670000000000002</v>
      </c>
      <c r="J90" s="247">
        <v>1.43</v>
      </c>
      <c r="K90" s="247">
        <v>0</v>
      </c>
      <c r="L90" s="247"/>
      <c r="M90" s="247"/>
    </row>
    <row r="91" spans="1:13" ht="15" hidden="1" customHeight="1" x14ac:dyDescent="0.3">
      <c r="A91" s="225">
        <v>115</v>
      </c>
      <c r="B91" s="226">
        <v>88</v>
      </c>
      <c r="C91" s="227" t="s">
        <v>197</v>
      </c>
      <c r="D91" s="228">
        <v>1</v>
      </c>
      <c r="E91" s="229">
        <v>15.6</v>
      </c>
      <c r="F91" s="229">
        <v>21.303999999999998</v>
      </c>
      <c r="G91" s="229">
        <v>5.7039999999999988</v>
      </c>
      <c r="H91" s="227" t="s">
        <v>198</v>
      </c>
      <c r="I91" s="247"/>
      <c r="J91" s="247"/>
      <c r="K91" s="247"/>
      <c r="L91" s="247">
        <v>2</v>
      </c>
      <c r="M91" s="247"/>
    </row>
    <row r="92" spans="1:13" ht="15" hidden="1" customHeight="1" x14ac:dyDescent="0.3">
      <c r="A92" s="223">
        <v>116</v>
      </c>
      <c r="B92" s="226">
        <v>39</v>
      </c>
      <c r="C92" s="227" t="s">
        <v>242</v>
      </c>
      <c r="D92" s="228">
        <v>1</v>
      </c>
      <c r="E92" s="229">
        <v>91.302999999999997</v>
      </c>
      <c r="F92" s="229">
        <v>92.216999999999999</v>
      </c>
      <c r="G92" s="229">
        <v>0.91400000000000148</v>
      </c>
      <c r="H92" s="227" t="s">
        <v>188</v>
      </c>
      <c r="I92" s="247"/>
      <c r="J92" s="247"/>
      <c r="K92" s="247"/>
      <c r="L92" s="247">
        <v>0.35</v>
      </c>
      <c r="M92" s="247"/>
    </row>
    <row r="93" spans="1:13" ht="15" hidden="1" customHeight="1" x14ac:dyDescent="0.3">
      <c r="A93" s="225">
        <v>117</v>
      </c>
      <c r="B93" s="226">
        <v>11113</v>
      </c>
      <c r="C93" s="227" t="s">
        <v>243</v>
      </c>
      <c r="D93" s="228">
        <v>1</v>
      </c>
      <c r="E93" s="229">
        <v>3.234</v>
      </c>
      <c r="F93" s="229">
        <v>4.8929999999999998</v>
      </c>
      <c r="G93" s="229">
        <v>1.6589999999999998</v>
      </c>
      <c r="H93" s="227" t="s">
        <v>168</v>
      </c>
      <c r="I93" s="247"/>
      <c r="J93" s="247"/>
      <c r="K93" s="247"/>
      <c r="L93" s="247">
        <v>0.5</v>
      </c>
      <c r="M93" s="247"/>
    </row>
    <row r="94" spans="1:13" ht="15" hidden="1" customHeight="1" x14ac:dyDescent="0.3">
      <c r="A94" s="223">
        <v>118</v>
      </c>
      <c r="B94" s="226">
        <v>88</v>
      </c>
      <c r="C94" s="227" t="s">
        <v>197</v>
      </c>
      <c r="D94" s="228">
        <v>1</v>
      </c>
      <c r="E94" s="229">
        <v>21.303999999999998</v>
      </c>
      <c r="F94" s="229">
        <v>25.484000000000002</v>
      </c>
      <c r="G94" s="229">
        <v>4.1800000000000033</v>
      </c>
      <c r="H94" s="227" t="s">
        <v>198</v>
      </c>
      <c r="I94" s="247"/>
      <c r="J94" s="247"/>
      <c r="K94" s="247"/>
      <c r="L94" s="247">
        <v>1.5</v>
      </c>
      <c r="M94" s="247"/>
    </row>
    <row r="95" spans="1:13" ht="15" hidden="1" customHeight="1" x14ac:dyDescent="0.3">
      <c r="A95" s="225">
        <v>119</v>
      </c>
      <c r="B95" s="230">
        <v>51</v>
      </c>
      <c r="C95" s="231" t="s">
        <v>244</v>
      </c>
      <c r="D95" s="223">
        <v>1</v>
      </c>
      <c r="E95" s="232">
        <v>35.808999999999997</v>
      </c>
      <c r="F95" s="232">
        <v>43.018999999999998</v>
      </c>
      <c r="G95" s="232">
        <v>7.2100000000000009</v>
      </c>
      <c r="H95" s="231" t="s">
        <v>176</v>
      </c>
      <c r="I95" s="248"/>
      <c r="J95" s="248"/>
      <c r="K95" s="248"/>
      <c r="L95" s="248"/>
      <c r="M95" s="248">
        <v>2.5</v>
      </c>
    </row>
    <row r="96" spans="1:13" ht="15" hidden="1" customHeight="1" x14ac:dyDescent="0.3">
      <c r="A96" s="223">
        <v>120</v>
      </c>
      <c r="B96" s="230">
        <v>69</v>
      </c>
      <c r="C96" s="231" t="s">
        <v>236</v>
      </c>
      <c r="D96" s="223">
        <v>1</v>
      </c>
      <c r="E96" s="232">
        <v>57.286000000000001</v>
      </c>
      <c r="F96" s="232">
        <v>65.332999999999998</v>
      </c>
      <c r="G96" s="232">
        <v>8.046999999999997</v>
      </c>
      <c r="H96" s="231" t="s">
        <v>192</v>
      </c>
      <c r="I96" s="248"/>
      <c r="J96" s="248"/>
      <c r="K96" s="248"/>
      <c r="L96" s="248"/>
      <c r="M96" s="248">
        <v>2.8</v>
      </c>
    </row>
    <row r="97" spans="1:13" ht="15" hidden="1" customHeight="1" x14ac:dyDescent="0.3">
      <c r="A97" s="223">
        <v>122</v>
      </c>
      <c r="B97" s="226">
        <v>11260</v>
      </c>
      <c r="C97" s="227" t="s">
        <v>245</v>
      </c>
      <c r="D97" s="228">
        <v>1</v>
      </c>
      <c r="E97" s="229">
        <v>20.151</v>
      </c>
      <c r="F97" s="229">
        <v>24.315000000000001</v>
      </c>
      <c r="G97" s="229">
        <v>4.1640000000000015</v>
      </c>
      <c r="H97" s="227" t="s">
        <v>168</v>
      </c>
      <c r="I97" s="247"/>
      <c r="J97" s="247">
        <v>1.46</v>
      </c>
      <c r="K97" s="247">
        <v>0</v>
      </c>
      <c r="L97" s="247"/>
      <c r="M97" s="247"/>
    </row>
    <row r="98" spans="1:13" ht="15" hidden="1" customHeight="1" x14ac:dyDescent="0.3">
      <c r="A98" s="225">
        <v>123</v>
      </c>
      <c r="B98" s="226">
        <v>29</v>
      </c>
      <c r="C98" s="227" t="s">
        <v>239</v>
      </c>
      <c r="D98" s="228">
        <v>1</v>
      </c>
      <c r="E98" s="229">
        <v>11.574</v>
      </c>
      <c r="F98" s="229">
        <v>14.356999999999999</v>
      </c>
      <c r="G98" s="229">
        <v>2.7829999999999995</v>
      </c>
      <c r="H98" s="227" t="s">
        <v>212</v>
      </c>
      <c r="I98" s="247"/>
      <c r="J98" s="247"/>
      <c r="K98" s="247"/>
      <c r="L98" s="247">
        <v>1</v>
      </c>
      <c r="M98" s="247"/>
    </row>
    <row r="99" spans="1:13" ht="15" hidden="1" customHeight="1" x14ac:dyDescent="0.3">
      <c r="A99" s="225">
        <v>125</v>
      </c>
      <c r="B99" s="230">
        <v>23129</v>
      </c>
      <c r="C99" s="231" t="s">
        <v>246</v>
      </c>
      <c r="D99" s="223">
        <v>1</v>
      </c>
      <c r="E99" s="232">
        <v>12.9</v>
      </c>
      <c r="F99" s="232">
        <v>16.436</v>
      </c>
      <c r="G99" s="232">
        <v>3.5359999999999996</v>
      </c>
      <c r="H99" s="231" t="s">
        <v>192</v>
      </c>
      <c r="I99" s="247"/>
      <c r="J99" s="247"/>
      <c r="K99" s="247"/>
      <c r="L99" s="247"/>
      <c r="M99" s="247">
        <v>1.2</v>
      </c>
    </row>
    <row r="100" spans="1:13" ht="15" hidden="1" customHeight="1" x14ac:dyDescent="0.3">
      <c r="A100" s="223">
        <v>126</v>
      </c>
      <c r="B100" s="230">
        <v>55</v>
      </c>
      <c r="C100" s="231" t="s">
        <v>247</v>
      </c>
      <c r="D100" s="223">
        <v>1</v>
      </c>
      <c r="E100" s="232">
        <v>0</v>
      </c>
      <c r="F100" s="232">
        <v>4.4249999999999998</v>
      </c>
      <c r="G100" s="232">
        <v>4.4249999999999998</v>
      </c>
      <c r="H100" s="231" t="s">
        <v>178</v>
      </c>
      <c r="I100" s="247"/>
      <c r="J100" s="247">
        <v>1.36</v>
      </c>
      <c r="K100" s="247"/>
      <c r="L100" s="247"/>
      <c r="M100" s="247"/>
    </row>
    <row r="101" spans="1:13" ht="15" hidden="1" customHeight="1" x14ac:dyDescent="0.3">
      <c r="A101" s="225">
        <v>127</v>
      </c>
      <c r="B101" s="230">
        <v>22140</v>
      </c>
      <c r="C101" s="231" t="s">
        <v>248</v>
      </c>
      <c r="D101" s="223">
        <v>1</v>
      </c>
      <c r="E101" s="232">
        <v>0</v>
      </c>
      <c r="F101" s="232">
        <v>6.798</v>
      </c>
      <c r="G101" s="232">
        <v>6.798</v>
      </c>
      <c r="H101" s="231" t="s">
        <v>166</v>
      </c>
      <c r="I101" s="248"/>
      <c r="J101" s="248"/>
      <c r="K101" s="248"/>
      <c r="L101" s="248"/>
      <c r="M101" s="248">
        <v>2.4</v>
      </c>
    </row>
    <row r="102" spans="1:13" ht="15" hidden="1" customHeight="1" x14ac:dyDescent="0.3">
      <c r="A102" s="223">
        <v>128</v>
      </c>
      <c r="B102" s="230">
        <v>62</v>
      </c>
      <c r="C102" s="231" t="s">
        <v>227</v>
      </c>
      <c r="D102" s="223">
        <v>1</v>
      </c>
      <c r="E102" s="232">
        <v>0</v>
      </c>
      <c r="F102" s="232">
        <v>5.0999999999999996</v>
      </c>
      <c r="G102" s="232">
        <v>5.0999999999999996</v>
      </c>
      <c r="H102" s="231" t="s">
        <v>184</v>
      </c>
      <c r="I102" s="248"/>
      <c r="J102" s="248"/>
      <c r="K102" s="248"/>
      <c r="L102" s="248"/>
      <c r="M102" s="248">
        <v>1.8</v>
      </c>
    </row>
    <row r="103" spans="1:13" ht="15" hidden="1" customHeight="1" x14ac:dyDescent="0.3">
      <c r="A103" s="225">
        <v>129</v>
      </c>
      <c r="B103" s="230">
        <v>52</v>
      </c>
      <c r="C103" s="231" t="s">
        <v>249</v>
      </c>
      <c r="D103" s="223">
        <v>1</v>
      </c>
      <c r="E103" s="232">
        <v>0.1</v>
      </c>
      <c r="F103" s="232">
        <v>11.59</v>
      </c>
      <c r="G103" s="232">
        <v>11.49</v>
      </c>
      <c r="H103" s="231" t="s">
        <v>178</v>
      </c>
      <c r="I103" s="248">
        <v>2.41</v>
      </c>
      <c r="J103" s="248">
        <v>1.17</v>
      </c>
      <c r="K103" s="248"/>
      <c r="L103" s="248"/>
      <c r="M103" s="248"/>
    </row>
    <row r="104" spans="1:13" ht="15" hidden="1" customHeight="1" x14ac:dyDescent="0.3">
      <c r="A104" s="223">
        <v>130</v>
      </c>
      <c r="B104" s="226">
        <v>13105</v>
      </c>
      <c r="C104" s="227" t="s">
        <v>250</v>
      </c>
      <c r="D104" s="228">
        <v>1</v>
      </c>
      <c r="E104" s="229">
        <v>0.13</v>
      </c>
      <c r="F104" s="229">
        <v>5.3979999999999997</v>
      </c>
      <c r="G104" s="229">
        <v>5.2679999999999998</v>
      </c>
      <c r="H104" s="227" t="s">
        <v>164</v>
      </c>
      <c r="I104" s="247"/>
      <c r="J104" s="247"/>
      <c r="K104" s="247"/>
      <c r="L104" s="247">
        <v>1.8</v>
      </c>
      <c r="M104" s="247"/>
    </row>
    <row r="105" spans="1:13" ht="15" hidden="1" customHeight="1" x14ac:dyDescent="0.3">
      <c r="A105" s="225">
        <v>131</v>
      </c>
      <c r="B105" s="230">
        <v>69</v>
      </c>
      <c r="C105" s="231" t="s">
        <v>236</v>
      </c>
      <c r="D105" s="223">
        <v>1</v>
      </c>
      <c r="E105" s="232">
        <v>47.822000000000003</v>
      </c>
      <c r="F105" s="232">
        <v>56.863999999999997</v>
      </c>
      <c r="G105" s="232">
        <v>9.0419999999999945</v>
      </c>
      <c r="H105" s="231" t="s">
        <v>192</v>
      </c>
      <c r="I105" s="247"/>
      <c r="J105" s="247"/>
      <c r="K105" s="247"/>
      <c r="L105" s="247"/>
      <c r="M105" s="247">
        <v>3.1</v>
      </c>
    </row>
    <row r="106" spans="1:13" ht="15" hidden="1" customHeight="1" x14ac:dyDescent="0.3">
      <c r="A106" s="223">
        <v>132</v>
      </c>
      <c r="B106" s="226">
        <v>93</v>
      </c>
      <c r="C106" s="227" t="s">
        <v>182</v>
      </c>
      <c r="D106" s="228">
        <v>1</v>
      </c>
      <c r="E106" s="229">
        <v>7.9939999999999998</v>
      </c>
      <c r="F106" s="229">
        <v>8.9909999999999997</v>
      </c>
      <c r="G106" s="229">
        <v>0.99699999999999989</v>
      </c>
      <c r="H106" s="227" t="s">
        <v>164</v>
      </c>
      <c r="I106" s="247"/>
      <c r="J106" s="247"/>
      <c r="K106" s="247"/>
      <c r="L106" s="247">
        <v>0.4</v>
      </c>
      <c r="M106" s="247"/>
    </row>
    <row r="107" spans="1:13" ht="15" hidden="1" customHeight="1" x14ac:dyDescent="0.3">
      <c r="A107" s="223">
        <v>134</v>
      </c>
      <c r="B107" s="226">
        <v>11106</v>
      </c>
      <c r="C107" s="227" t="s">
        <v>251</v>
      </c>
      <c r="D107" s="228">
        <v>1</v>
      </c>
      <c r="E107" s="229">
        <v>0</v>
      </c>
      <c r="F107" s="229">
        <v>1.9350000000000001</v>
      </c>
      <c r="G107" s="229">
        <v>1.9350000000000001</v>
      </c>
      <c r="H107" s="227" t="s">
        <v>168</v>
      </c>
      <c r="I107" s="247"/>
      <c r="J107" s="247">
        <v>0.68</v>
      </c>
      <c r="K107" s="247">
        <v>0</v>
      </c>
      <c r="L107" s="247"/>
      <c r="M107" s="247"/>
    </row>
    <row r="108" spans="1:13" ht="15" hidden="1" customHeight="1" x14ac:dyDescent="0.3">
      <c r="A108" s="225">
        <v>137</v>
      </c>
      <c r="B108" s="230">
        <v>39</v>
      </c>
      <c r="C108" s="231" t="s">
        <v>242</v>
      </c>
      <c r="D108" s="223">
        <v>1</v>
      </c>
      <c r="E108" s="232">
        <v>57.000999999999998</v>
      </c>
      <c r="F108" s="232">
        <v>66.757000000000005</v>
      </c>
      <c r="G108" s="232">
        <v>9.7560000000000073</v>
      </c>
      <c r="H108" s="237" t="s">
        <v>279</v>
      </c>
      <c r="I108" s="247"/>
      <c r="J108" s="247"/>
      <c r="K108" s="247"/>
      <c r="L108" s="247"/>
      <c r="M108" s="247">
        <v>3.5</v>
      </c>
    </row>
    <row r="109" spans="1:13" ht="15" hidden="1" customHeight="1" x14ac:dyDescent="0.3">
      <c r="A109" s="223">
        <v>138</v>
      </c>
      <c r="B109" s="226">
        <v>11412</v>
      </c>
      <c r="C109" s="227" t="s">
        <v>252</v>
      </c>
      <c r="D109" s="228">
        <v>1</v>
      </c>
      <c r="E109" s="229">
        <v>0</v>
      </c>
      <c r="F109" s="229">
        <v>5.1559999999999997</v>
      </c>
      <c r="G109" s="229">
        <v>5.1559999999999997</v>
      </c>
      <c r="H109" s="227" t="s">
        <v>168</v>
      </c>
      <c r="I109" s="247"/>
      <c r="J109" s="247"/>
      <c r="K109" s="247"/>
      <c r="L109" s="247">
        <v>1.8</v>
      </c>
      <c r="M109" s="247"/>
    </row>
    <row r="110" spans="1:13" ht="15" hidden="1" customHeight="1" x14ac:dyDescent="0.3">
      <c r="A110" s="225">
        <v>141</v>
      </c>
      <c r="B110" s="226">
        <v>11315</v>
      </c>
      <c r="C110" s="227" t="s">
        <v>253</v>
      </c>
      <c r="D110" s="228">
        <v>1</v>
      </c>
      <c r="E110" s="229">
        <v>5.5E-2</v>
      </c>
      <c r="F110" s="229">
        <v>5.9</v>
      </c>
      <c r="G110" s="229">
        <v>5.8450000000000006</v>
      </c>
      <c r="H110" s="227" t="s">
        <v>168</v>
      </c>
      <c r="I110" s="247"/>
      <c r="J110" s="247"/>
      <c r="K110" s="247"/>
      <c r="L110" s="247">
        <v>2.1</v>
      </c>
      <c r="M110" s="247"/>
    </row>
    <row r="111" spans="1:13" ht="15" hidden="1" customHeight="1" x14ac:dyDescent="0.3">
      <c r="A111" s="223">
        <v>142</v>
      </c>
      <c r="B111" s="230">
        <v>52</v>
      </c>
      <c r="C111" s="231" t="s">
        <v>249</v>
      </c>
      <c r="D111" s="223">
        <v>1</v>
      </c>
      <c r="E111" s="232">
        <v>28.634</v>
      </c>
      <c r="F111" s="232">
        <v>41.42</v>
      </c>
      <c r="G111" s="232">
        <v>12.786000000000001</v>
      </c>
      <c r="H111" s="231" t="s">
        <v>178</v>
      </c>
      <c r="I111" s="247"/>
      <c r="J111" s="247"/>
      <c r="K111" s="247"/>
      <c r="L111" s="247"/>
      <c r="M111" s="247">
        <v>4.5999999999999996</v>
      </c>
    </row>
    <row r="112" spans="1:13" ht="15" hidden="1" customHeight="1" x14ac:dyDescent="0.3">
      <c r="A112" s="225">
        <v>145</v>
      </c>
      <c r="B112" s="226">
        <v>14</v>
      </c>
      <c r="C112" s="227" t="s">
        <v>254</v>
      </c>
      <c r="D112" s="228">
        <v>1</v>
      </c>
      <c r="E112" s="229">
        <v>13.194000000000001</v>
      </c>
      <c r="F112" s="229">
        <v>19.05</v>
      </c>
      <c r="G112" s="229">
        <v>5.8559999999999999</v>
      </c>
      <c r="H112" s="227" t="s">
        <v>212</v>
      </c>
      <c r="I112" s="248"/>
      <c r="J112" s="248"/>
      <c r="K112" s="248"/>
      <c r="L112" s="248"/>
      <c r="M112" s="248">
        <v>2.1</v>
      </c>
    </row>
    <row r="113" spans="1:13" ht="15" hidden="1" customHeight="1" x14ac:dyDescent="0.3">
      <c r="A113" s="223">
        <v>146</v>
      </c>
      <c r="B113" s="226">
        <v>25</v>
      </c>
      <c r="C113" s="227" t="s">
        <v>255</v>
      </c>
      <c r="D113" s="228">
        <v>1</v>
      </c>
      <c r="E113" s="229">
        <v>21.2</v>
      </c>
      <c r="F113" s="229">
        <v>25.14</v>
      </c>
      <c r="G113" s="229">
        <v>3.9400000000000013</v>
      </c>
      <c r="H113" s="227" t="s">
        <v>188</v>
      </c>
      <c r="I113" s="247"/>
      <c r="J113" s="247"/>
      <c r="K113" s="247"/>
      <c r="L113" s="247"/>
      <c r="M113" s="247">
        <v>1.4</v>
      </c>
    </row>
    <row r="114" spans="1:13" ht="15" hidden="1" customHeight="1" x14ac:dyDescent="0.3">
      <c r="A114" s="223">
        <v>148</v>
      </c>
      <c r="B114" s="226">
        <v>11220</v>
      </c>
      <c r="C114" s="227" t="s">
        <v>256</v>
      </c>
      <c r="D114" s="228">
        <v>1</v>
      </c>
      <c r="E114" s="229">
        <v>9.7089999999999996</v>
      </c>
      <c r="F114" s="229">
        <v>13.606999999999999</v>
      </c>
      <c r="G114" s="229">
        <v>3.8979999999999997</v>
      </c>
      <c r="H114" s="227" t="s">
        <v>212</v>
      </c>
      <c r="I114" s="247"/>
      <c r="J114" s="247"/>
      <c r="K114" s="247"/>
      <c r="L114" s="247"/>
      <c r="M114" s="247">
        <v>1.4</v>
      </c>
    </row>
    <row r="115" spans="1:13" ht="15" hidden="1" customHeight="1" x14ac:dyDescent="0.3">
      <c r="A115" s="225">
        <v>149</v>
      </c>
      <c r="B115" s="230">
        <v>77</v>
      </c>
      <c r="C115" s="231" t="s">
        <v>257</v>
      </c>
      <c r="D115" s="223">
        <v>1</v>
      </c>
      <c r="E115" s="232">
        <v>36.238999999999997</v>
      </c>
      <c r="F115" s="232">
        <v>47.442</v>
      </c>
      <c r="G115" s="232">
        <v>11.203000000000003</v>
      </c>
      <c r="H115" s="231" t="s">
        <v>241</v>
      </c>
      <c r="I115" s="247"/>
      <c r="J115" s="247"/>
      <c r="K115" s="247"/>
      <c r="L115" s="247"/>
      <c r="M115" s="247">
        <v>2.4079999999999999</v>
      </c>
    </row>
    <row r="116" spans="1:13" ht="15" hidden="1" customHeight="1" x14ac:dyDescent="0.3">
      <c r="A116" s="223">
        <v>150</v>
      </c>
      <c r="B116" s="226">
        <v>11128</v>
      </c>
      <c r="C116" s="227" t="s">
        <v>258</v>
      </c>
      <c r="D116" s="228">
        <v>1</v>
      </c>
      <c r="E116" s="229">
        <v>0</v>
      </c>
      <c r="F116" s="229">
        <v>0.85499999999999998</v>
      </c>
      <c r="G116" s="229">
        <v>0.85499999999999998</v>
      </c>
      <c r="H116" s="227" t="s">
        <v>168</v>
      </c>
      <c r="I116" s="247"/>
      <c r="J116" s="247"/>
      <c r="K116" s="247">
        <v>0.3</v>
      </c>
      <c r="L116" s="247"/>
      <c r="M116" s="247"/>
    </row>
    <row r="117" spans="1:13" ht="15" hidden="1" customHeight="1" x14ac:dyDescent="0.3">
      <c r="A117" s="225">
        <v>151</v>
      </c>
      <c r="B117" s="230">
        <v>49</v>
      </c>
      <c r="C117" s="231" t="s">
        <v>219</v>
      </c>
      <c r="D117" s="223">
        <v>1</v>
      </c>
      <c r="E117" s="232">
        <v>58.771999999999998</v>
      </c>
      <c r="F117" s="232">
        <v>64.69</v>
      </c>
      <c r="G117" s="232">
        <v>5.9179999999999993</v>
      </c>
      <c r="H117" s="231" t="s">
        <v>178</v>
      </c>
      <c r="I117" s="248"/>
      <c r="J117" s="248"/>
      <c r="K117" s="248">
        <v>2.06</v>
      </c>
      <c r="L117" s="248"/>
      <c r="M117" s="248"/>
    </row>
    <row r="118" spans="1:13" ht="15" hidden="1" customHeight="1" x14ac:dyDescent="0.3">
      <c r="A118" s="223">
        <v>152</v>
      </c>
      <c r="B118" s="230">
        <v>57</v>
      </c>
      <c r="C118" s="231" t="s">
        <v>169</v>
      </c>
      <c r="D118" s="223">
        <v>1</v>
      </c>
      <c r="E118" s="232">
        <v>22.635000000000002</v>
      </c>
      <c r="F118" s="232">
        <v>32.734999999999999</v>
      </c>
      <c r="G118" s="232">
        <v>10.099999999999998</v>
      </c>
      <c r="H118" s="237" t="s">
        <v>259</v>
      </c>
      <c r="I118" s="248"/>
      <c r="J118" s="248"/>
      <c r="K118" s="248"/>
      <c r="L118" s="248">
        <v>2</v>
      </c>
      <c r="M118" s="248"/>
    </row>
    <row r="119" spans="1:13" ht="15" hidden="1" customHeight="1" x14ac:dyDescent="0.3">
      <c r="A119" s="225">
        <v>155</v>
      </c>
      <c r="B119" s="226">
        <v>11310</v>
      </c>
      <c r="C119" s="227" t="s">
        <v>260</v>
      </c>
      <c r="D119" s="228">
        <v>1</v>
      </c>
      <c r="E119" s="229">
        <v>11.602</v>
      </c>
      <c r="F119" s="229">
        <v>16.34</v>
      </c>
      <c r="G119" s="229">
        <v>4.7379999999999995</v>
      </c>
      <c r="H119" s="227" t="s">
        <v>168</v>
      </c>
      <c r="I119" s="247"/>
      <c r="J119" s="247"/>
      <c r="K119" s="247"/>
      <c r="L119" s="247"/>
      <c r="M119" s="247">
        <v>1.6</v>
      </c>
    </row>
    <row r="120" spans="1:13" ht="15" hidden="1" customHeight="1" x14ac:dyDescent="0.3">
      <c r="A120" s="223">
        <v>156</v>
      </c>
      <c r="B120" s="226">
        <v>88</v>
      </c>
      <c r="C120" s="227" t="s">
        <v>197</v>
      </c>
      <c r="D120" s="228">
        <v>1</v>
      </c>
      <c r="E120" s="229">
        <v>25.484000000000002</v>
      </c>
      <c r="F120" s="229">
        <v>33.073</v>
      </c>
      <c r="G120" s="229">
        <v>7.5889999999999986</v>
      </c>
      <c r="H120" s="227" t="s">
        <v>198</v>
      </c>
      <c r="I120" s="247"/>
      <c r="J120" s="247"/>
      <c r="K120" s="247"/>
      <c r="L120" s="247"/>
      <c r="M120" s="247">
        <v>2.7</v>
      </c>
    </row>
    <row r="121" spans="1:13" ht="15" hidden="1" customHeight="1" x14ac:dyDescent="0.3">
      <c r="A121" s="225">
        <v>157</v>
      </c>
      <c r="B121" s="226">
        <v>17</v>
      </c>
      <c r="C121" s="227" t="s">
        <v>209</v>
      </c>
      <c r="D121" s="228">
        <v>1</v>
      </c>
      <c r="E121" s="229">
        <v>25.36</v>
      </c>
      <c r="F121" s="229">
        <v>34.793999999999997</v>
      </c>
      <c r="G121" s="229">
        <v>9.4339999999999975</v>
      </c>
      <c r="H121" s="227" t="s">
        <v>168</v>
      </c>
      <c r="I121" s="248"/>
      <c r="J121" s="248"/>
      <c r="K121" s="248"/>
      <c r="L121" s="248"/>
      <c r="M121" s="248">
        <v>3.4</v>
      </c>
    </row>
    <row r="122" spans="1:13" ht="15" hidden="1" customHeight="1" x14ac:dyDescent="0.3">
      <c r="A122" s="223">
        <v>158</v>
      </c>
      <c r="B122" s="226">
        <v>13116</v>
      </c>
      <c r="C122" s="227" t="s">
        <v>261</v>
      </c>
      <c r="D122" s="228">
        <v>1</v>
      </c>
      <c r="E122" s="229">
        <v>0</v>
      </c>
      <c r="F122" s="229">
        <v>1.41</v>
      </c>
      <c r="G122" s="229">
        <v>1.41</v>
      </c>
      <c r="H122" s="227" t="s">
        <v>164</v>
      </c>
      <c r="I122" s="247"/>
      <c r="J122" s="247"/>
      <c r="K122" s="247"/>
      <c r="L122" s="247"/>
      <c r="M122" s="247">
        <v>0.5</v>
      </c>
    </row>
    <row r="123" spans="1:13" ht="15" hidden="1" customHeight="1" x14ac:dyDescent="0.3">
      <c r="A123" s="223">
        <v>162</v>
      </c>
      <c r="B123" s="226">
        <v>39</v>
      </c>
      <c r="C123" s="227" t="s">
        <v>242</v>
      </c>
      <c r="D123" s="228">
        <v>1</v>
      </c>
      <c r="E123" s="229">
        <v>93.100999999999999</v>
      </c>
      <c r="F123" s="229">
        <v>93.733000000000004</v>
      </c>
      <c r="G123" s="229">
        <v>0.632000000000005</v>
      </c>
      <c r="H123" s="227" t="s">
        <v>188</v>
      </c>
      <c r="I123" s="247"/>
      <c r="J123" s="247"/>
      <c r="K123" s="247"/>
      <c r="L123" s="247"/>
      <c r="M123" s="247">
        <v>0.21</v>
      </c>
    </row>
    <row r="124" spans="1:13" ht="15" hidden="1" customHeight="1" x14ac:dyDescent="0.3">
      <c r="A124" s="225">
        <v>163</v>
      </c>
      <c r="B124" s="226">
        <v>20117</v>
      </c>
      <c r="C124" s="227" t="s">
        <v>262</v>
      </c>
      <c r="D124" s="228">
        <v>1</v>
      </c>
      <c r="E124" s="229">
        <v>6.3979999999999997</v>
      </c>
      <c r="F124" s="229">
        <v>10.779</v>
      </c>
      <c r="G124" s="229">
        <v>4.3810000000000002</v>
      </c>
      <c r="H124" s="227" t="s">
        <v>212</v>
      </c>
      <c r="I124" s="247"/>
      <c r="J124" s="247"/>
      <c r="K124" s="247"/>
      <c r="L124" s="247"/>
      <c r="M124" s="247">
        <v>1.54</v>
      </c>
    </row>
    <row r="125" spans="1:13" ht="15" hidden="1" customHeight="1" x14ac:dyDescent="0.3">
      <c r="A125" s="223">
        <v>164</v>
      </c>
      <c r="B125" s="230">
        <v>27</v>
      </c>
      <c r="C125" s="231" t="s">
        <v>235</v>
      </c>
      <c r="D125" s="223">
        <v>1</v>
      </c>
      <c r="E125" s="232">
        <v>32.868000000000002</v>
      </c>
      <c r="F125" s="232">
        <v>38.131999999999998</v>
      </c>
      <c r="G125" s="232">
        <v>5.2639999999999958</v>
      </c>
      <c r="H125" s="231" t="s">
        <v>171</v>
      </c>
      <c r="I125" s="247"/>
      <c r="J125" s="247">
        <v>1.82</v>
      </c>
      <c r="K125" s="247"/>
      <c r="L125" s="247"/>
      <c r="M125" s="247"/>
    </row>
    <row r="126" spans="1:13" ht="15" hidden="1" customHeight="1" x14ac:dyDescent="0.3">
      <c r="A126" s="225">
        <v>165</v>
      </c>
      <c r="B126" s="226">
        <v>11245</v>
      </c>
      <c r="C126" s="227" t="s">
        <v>263</v>
      </c>
      <c r="D126" s="228">
        <v>1</v>
      </c>
      <c r="E126" s="229">
        <v>0</v>
      </c>
      <c r="F126" s="229">
        <v>1</v>
      </c>
      <c r="G126" s="229">
        <v>1</v>
      </c>
      <c r="H126" s="227" t="s">
        <v>168</v>
      </c>
      <c r="I126" s="247"/>
      <c r="J126" s="247"/>
      <c r="K126" s="247"/>
      <c r="L126" s="247"/>
      <c r="M126" s="247">
        <v>0.35</v>
      </c>
    </row>
    <row r="127" spans="1:13" ht="15" hidden="1" customHeight="1" x14ac:dyDescent="0.3">
      <c r="A127" s="225">
        <v>167</v>
      </c>
      <c r="B127" s="226">
        <v>39</v>
      </c>
      <c r="C127" s="227" t="s">
        <v>242</v>
      </c>
      <c r="D127" s="228">
        <v>1</v>
      </c>
      <c r="E127" s="229">
        <v>94.707999999999998</v>
      </c>
      <c r="F127" s="229">
        <v>96.04</v>
      </c>
      <c r="G127" s="229">
        <v>1.3320000000000078</v>
      </c>
      <c r="H127" s="227" t="s">
        <v>188</v>
      </c>
      <c r="I127" s="247"/>
      <c r="J127" s="247"/>
      <c r="K127" s="247"/>
      <c r="L127" s="247"/>
      <c r="M127" s="247">
        <v>0.5</v>
      </c>
    </row>
    <row r="128" spans="1:13" ht="15" hidden="1" customHeight="1" x14ac:dyDescent="0.3">
      <c r="A128" s="223">
        <v>170</v>
      </c>
      <c r="B128" s="226">
        <v>15</v>
      </c>
      <c r="C128" s="227" t="s">
        <v>264</v>
      </c>
      <c r="D128" s="228">
        <v>1</v>
      </c>
      <c r="E128" s="229">
        <v>70.569000000000003</v>
      </c>
      <c r="F128" s="229">
        <v>78.927000000000007</v>
      </c>
      <c r="G128" s="229">
        <v>8.3580000000000041</v>
      </c>
      <c r="H128" s="227" t="s">
        <v>212</v>
      </c>
      <c r="I128" s="247"/>
      <c r="J128" s="247"/>
      <c r="K128" s="247">
        <v>1.2689999999999999</v>
      </c>
      <c r="L128" s="247"/>
      <c r="M128" s="247"/>
    </row>
    <row r="129" spans="1:13" ht="15" hidden="1" customHeight="1" x14ac:dyDescent="0.3">
      <c r="A129" s="225">
        <v>171</v>
      </c>
      <c r="B129" s="230">
        <v>52</v>
      </c>
      <c r="C129" s="231" t="s">
        <v>249</v>
      </c>
      <c r="D129" s="223">
        <v>1</v>
      </c>
      <c r="E129" s="232">
        <v>11.59</v>
      </c>
      <c r="F129" s="232">
        <v>22.097000000000001</v>
      </c>
      <c r="G129" s="232">
        <v>10.507000000000001</v>
      </c>
      <c r="H129" s="231" t="s">
        <v>178</v>
      </c>
      <c r="I129" s="248"/>
      <c r="J129" s="248"/>
      <c r="K129" s="248"/>
      <c r="L129" s="248">
        <v>3.5</v>
      </c>
      <c r="M129" s="248"/>
    </row>
    <row r="130" spans="1:13" ht="15" hidden="1" customHeight="1" x14ac:dyDescent="0.3">
      <c r="A130" s="225">
        <v>173</v>
      </c>
      <c r="B130" s="226">
        <v>11332</v>
      </c>
      <c r="C130" s="227" t="s">
        <v>265</v>
      </c>
      <c r="D130" s="228">
        <v>1</v>
      </c>
      <c r="E130" s="229">
        <v>0</v>
      </c>
      <c r="F130" s="229">
        <v>0.93</v>
      </c>
      <c r="G130" s="229">
        <v>0.93</v>
      </c>
      <c r="H130" s="227" t="s">
        <v>168</v>
      </c>
      <c r="I130" s="247"/>
      <c r="J130" s="247"/>
      <c r="K130" s="247"/>
      <c r="L130" s="247"/>
      <c r="M130" s="247">
        <v>0.3</v>
      </c>
    </row>
    <row r="131" spans="1:13" ht="15" hidden="1" customHeight="1" x14ac:dyDescent="0.3">
      <c r="A131" s="223">
        <v>174</v>
      </c>
      <c r="B131" s="226">
        <v>25</v>
      </c>
      <c r="C131" s="227" t="s">
        <v>255</v>
      </c>
      <c r="D131" s="228">
        <v>1</v>
      </c>
      <c r="E131" s="229">
        <v>0.03</v>
      </c>
      <c r="F131" s="229">
        <v>2.2999999999999998</v>
      </c>
      <c r="G131" s="229">
        <v>2.27</v>
      </c>
      <c r="H131" s="227" t="s">
        <v>188</v>
      </c>
      <c r="I131" s="247"/>
      <c r="J131" s="247"/>
      <c r="K131" s="247"/>
      <c r="L131" s="247"/>
      <c r="M131" s="247">
        <v>0.8</v>
      </c>
    </row>
    <row r="132" spans="1:13" ht="15" hidden="1" customHeight="1" x14ac:dyDescent="0.3">
      <c r="A132" s="223">
        <v>176</v>
      </c>
      <c r="B132" s="226">
        <v>29</v>
      </c>
      <c r="C132" s="227" t="s">
        <v>239</v>
      </c>
      <c r="D132" s="228">
        <v>1</v>
      </c>
      <c r="E132" s="229">
        <v>16.542999999999999</v>
      </c>
      <c r="F132" s="229">
        <v>23.844999999999999</v>
      </c>
      <c r="G132" s="229">
        <v>7.3019999999999996</v>
      </c>
      <c r="H132" s="227" t="s">
        <v>212</v>
      </c>
      <c r="I132" s="247"/>
      <c r="J132" s="247"/>
      <c r="K132" s="247"/>
      <c r="L132" s="247"/>
      <c r="M132" s="247">
        <v>2.6</v>
      </c>
    </row>
    <row r="133" spans="1:13" ht="15" hidden="1" customHeight="1" x14ac:dyDescent="0.3">
      <c r="A133" s="225">
        <v>177</v>
      </c>
      <c r="B133" s="226">
        <v>11304</v>
      </c>
      <c r="C133" s="227" t="s">
        <v>266</v>
      </c>
      <c r="D133" s="228">
        <v>1</v>
      </c>
      <c r="E133" s="229">
        <v>7.5999999999999998E-2</v>
      </c>
      <c r="F133" s="229">
        <v>2</v>
      </c>
      <c r="G133" s="229">
        <v>1.9239999999999999</v>
      </c>
      <c r="H133" s="227" t="s">
        <v>168</v>
      </c>
      <c r="I133" s="247"/>
      <c r="J133" s="247"/>
      <c r="K133" s="247"/>
      <c r="L133" s="247"/>
      <c r="M133" s="247">
        <v>0.7</v>
      </c>
    </row>
    <row r="134" spans="1:13" ht="15" hidden="1" customHeight="1" x14ac:dyDescent="0.3">
      <c r="A134" s="225">
        <v>181</v>
      </c>
      <c r="B134" s="226">
        <v>22</v>
      </c>
      <c r="C134" s="227" t="s">
        <v>267</v>
      </c>
      <c r="D134" s="228">
        <v>1</v>
      </c>
      <c r="E134" s="229">
        <v>25.887</v>
      </c>
      <c r="F134" s="229">
        <v>27.440999999999999</v>
      </c>
      <c r="G134" s="229">
        <v>1.5539999999999985</v>
      </c>
      <c r="H134" s="227" t="s">
        <v>198</v>
      </c>
      <c r="I134" s="247"/>
      <c r="J134" s="247"/>
      <c r="K134" s="247"/>
      <c r="L134" s="247"/>
      <c r="M134" s="247">
        <v>0.61</v>
      </c>
    </row>
    <row r="135" spans="1:13" ht="15" hidden="1" customHeight="1" x14ac:dyDescent="0.3">
      <c r="A135" s="223">
        <v>182</v>
      </c>
      <c r="B135" s="226">
        <v>85</v>
      </c>
      <c r="C135" s="227" t="s">
        <v>268</v>
      </c>
      <c r="D135" s="228">
        <v>1</v>
      </c>
      <c r="E135" s="229">
        <v>10.999000000000001</v>
      </c>
      <c r="F135" s="229">
        <v>15.491</v>
      </c>
      <c r="G135" s="229">
        <v>4.4919999999999991</v>
      </c>
      <c r="H135" s="227" t="s">
        <v>168</v>
      </c>
      <c r="I135" s="247"/>
      <c r="J135" s="247"/>
      <c r="K135" s="247"/>
      <c r="L135" s="247"/>
      <c r="M135" s="247">
        <v>1.6</v>
      </c>
    </row>
    <row r="136" spans="1:13" ht="15" hidden="1" customHeight="1" x14ac:dyDescent="0.3">
      <c r="A136" s="225">
        <v>187</v>
      </c>
      <c r="B136" s="233">
        <v>20141</v>
      </c>
      <c r="C136" s="234" t="s">
        <v>269</v>
      </c>
      <c r="D136" s="235">
        <v>1</v>
      </c>
      <c r="E136" s="238">
        <v>0</v>
      </c>
      <c r="F136" s="238">
        <v>2.56</v>
      </c>
      <c r="G136" s="229">
        <v>2.56</v>
      </c>
      <c r="H136" s="227" t="s">
        <v>212</v>
      </c>
      <c r="I136" s="248">
        <v>0.45</v>
      </c>
      <c r="J136" s="248"/>
      <c r="K136" s="248"/>
      <c r="L136" s="248"/>
      <c r="M136" s="248"/>
    </row>
    <row r="137" spans="1:13" ht="15" hidden="1" customHeight="1" x14ac:dyDescent="0.3">
      <c r="A137" s="223">
        <v>196</v>
      </c>
      <c r="B137" s="230">
        <v>81</v>
      </c>
      <c r="C137" s="231" t="s">
        <v>189</v>
      </c>
      <c r="D137" s="223">
        <v>1</v>
      </c>
      <c r="E137" s="232">
        <v>4.9000000000000004</v>
      </c>
      <c r="F137" s="232">
        <v>11.414999999999999</v>
      </c>
      <c r="G137" s="232">
        <v>6.5149999999999988</v>
      </c>
      <c r="H137" s="231" t="s">
        <v>190</v>
      </c>
      <c r="I137" s="247"/>
      <c r="J137" s="247"/>
      <c r="K137" s="247">
        <v>1.98</v>
      </c>
      <c r="L137" s="247">
        <v>0</v>
      </c>
      <c r="M137" s="247"/>
    </row>
    <row r="138" spans="1:13" ht="15" hidden="1" customHeight="1" x14ac:dyDescent="0.3">
      <c r="A138" s="225">
        <v>197</v>
      </c>
      <c r="B138" s="226">
        <v>11390</v>
      </c>
      <c r="C138" s="227" t="s">
        <v>270</v>
      </c>
      <c r="D138" s="228">
        <v>1</v>
      </c>
      <c r="E138" s="229">
        <v>26.667999999999999</v>
      </c>
      <c r="F138" s="229">
        <v>36.741</v>
      </c>
      <c r="G138" s="229">
        <v>10.073</v>
      </c>
      <c r="H138" s="227" t="s">
        <v>168</v>
      </c>
      <c r="I138" s="247">
        <v>2.38</v>
      </c>
      <c r="J138" s="247"/>
      <c r="K138" s="247"/>
      <c r="L138" s="247"/>
      <c r="M138" s="247"/>
    </row>
    <row r="139" spans="1:13" x14ac:dyDescent="0.3">
      <c r="A139" s="225">
        <v>209</v>
      </c>
      <c r="B139" s="230">
        <v>10</v>
      </c>
      <c r="C139" s="231" t="s">
        <v>225</v>
      </c>
      <c r="D139" s="223">
        <v>1</v>
      </c>
      <c r="E139" s="232">
        <v>56.481000000000002</v>
      </c>
      <c r="F139" s="232">
        <v>64.962000000000003</v>
      </c>
      <c r="G139" s="232">
        <v>8.4810000000000016</v>
      </c>
      <c r="H139" s="231" t="s">
        <v>170</v>
      </c>
      <c r="I139" s="248"/>
      <c r="J139" s="248">
        <v>3.3</v>
      </c>
      <c r="K139" s="248"/>
      <c r="L139" s="248"/>
      <c r="M139" s="248"/>
    </row>
    <row r="140" spans="1:13" ht="15" hidden="1" customHeight="1" x14ac:dyDescent="0.3">
      <c r="A140" s="223">
        <v>216</v>
      </c>
      <c r="B140" s="230">
        <v>49</v>
      </c>
      <c r="C140" s="231" t="s">
        <v>219</v>
      </c>
      <c r="D140" s="223">
        <v>1</v>
      </c>
      <c r="E140" s="232">
        <v>53.38</v>
      </c>
      <c r="F140" s="232">
        <v>58.4</v>
      </c>
      <c r="G140" s="232">
        <v>5.019999999999996</v>
      </c>
      <c r="H140" s="231" t="s">
        <v>178</v>
      </c>
      <c r="I140" s="247"/>
      <c r="J140" s="247"/>
      <c r="K140" s="247"/>
      <c r="L140" s="247">
        <v>1.9</v>
      </c>
      <c r="M140" s="247"/>
    </row>
    <row r="141" spans="1:13" hidden="1" x14ac:dyDescent="0.3">
      <c r="A141" s="225">
        <v>229</v>
      </c>
      <c r="B141" s="233">
        <v>15</v>
      </c>
      <c r="C141" s="234" t="s">
        <v>264</v>
      </c>
      <c r="D141" s="235">
        <v>1</v>
      </c>
      <c r="E141" s="238">
        <v>51.484000000000002</v>
      </c>
      <c r="F141" s="238">
        <v>59.585000000000001</v>
      </c>
      <c r="G141" s="229">
        <v>8.1009999999999991</v>
      </c>
      <c r="H141" s="227" t="s">
        <v>212</v>
      </c>
      <c r="I141" s="248">
        <v>2.76</v>
      </c>
      <c r="J141" s="248"/>
      <c r="K141" s="248"/>
      <c r="L141" s="248"/>
      <c r="M141" s="248"/>
    </row>
    <row r="142" spans="1:13" ht="15" hidden="1" customHeight="1" x14ac:dyDescent="0.3">
      <c r="A142" s="225"/>
      <c r="B142" s="226">
        <v>27</v>
      </c>
      <c r="C142" s="227" t="s">
        <v>235</v>
      </c>
      <c r="D142" s="228">
        <v>1</v>
      </c>
      <c r="E142" s="229">
        <v>16.393999999999998</v>
      </c>
      <c r="F142" s="229">
        <v>19.013000000000002</v>
      </c>
      <c r="G142" s="229">
        <f>F142-E142</f>
        <v>2.6190000000000033</v>
      </c>
      <c r="H142" s="227" t="s">
        <v>212</v>
      </c>
      <c r="I142" s="247">
        <v>0</v>
      </c>
      <c r="J142" s="247">
        <v>0.5</v>
      </c>
      <c r="K142" s="247"/>
      <c r="L142" s="247"/>
      <c r="M142" s="247"/>
    </row>
    <row r="143" spans="1:13" ht="15" hidden="1" customHeight="1" x14ac:dyDescent="0.3">
      <c r="A143" s="223"/>
      <c r="B143" s="230">
        <v>21144</v>
      </c>
      <c r="C143" s="220" t="s">
        <v>273</v>
      </c>
      <c r="D143" s="228">
        <v>1</v>
      </c>
      <c r="E143" s="232">
        <v>0</v>
      </c>
      <c r="F143" s="232">
        <v>1.7689999999999999</v>
      </c>
      <c r="G143" s="232">
        <v>1.7689999999999999</v>
      </c>
      <c r="H143" s="231" t="s">
        <v>241</v>
      </c>
      <c r="I143" s="247">
        <v>0.5</v>
      </c>
      <c r="J143" s="247"/>
      <c r="K143" s="247"/>
      <c r="L143" s="247"/>
      <c r="M143" s="247"/>
    </row>
    <row r="144" spans="1:13" ht="15" hidden="1" customHeight="1" x14ac:dyDescent="0.3">
      <c r="A144" s="223"/>
      <c r="B144" s="230">
        <v>19203</v>
      </c>
      <c r="C144" s="220" t="s">
        <v>272</v>
      </c>
      <c r="D144" s="228">
        <v>1</v>
      </c>
      <c r="E144" s="232">
        <v>9.077</v>
      </c>
      <c r="F144" s="229">
        <v>14.156000000000001</v>
      </c>
      <c r="G144" s="229">
        <v>5.0790000000000006</v>
      </c>
      <c r="H144" s="231" t="s">
        <v>171</v>
      </c>
      <c r="I144" s="247"/>
      <c r="J144" s="247">
        <v>0.9</v>
      </c>
      <c r="K144" s="247"/>
      <c r="L144" s="247"/>
      <c r="M144" s="247"/>
    </row>
    <row r="145" spans="1:13" ht="15" hidden="1" customHeight="1" x14ac:dyDescent="0.3">
      <c r="A145" s="223"/>
      <c r="B145" s="230">
        <v>77</v>
      </c>
      <c r="C145" s="231" t="s">
        <v>257</v>
      </c>
      <c r="D145" s="228">
        <v>1</v>
      </c>
      <c r="E145" s="232">
        <v>16.899999999999999</v>
      </c>
      <c r="F145" s="232">
        <v>21.2</v>
      </c>
      <c r="G145" s="232">
        <v>4.3000000000000007</v>
      </c>
      <c r="H145" s="231" t="s">
        <v>241</v>
      </c>
      <c r="I145" s="247"/>
      <c r="J145" s="247"/>
      <c r="K145" s="247"/>
      <c r="L145" s="247">
        <v>1.5</v>
      </c>
      <c r="M145" s="247"/>
    </row>
    <row r="146" spans="1:13" ht="15" hidden="1" customHeight="1" x14ac:dyDescent="0.3">
      <c r="A146" s="223"/>
      <c r="B146" s="230">
        <v>92</v>
      </c>
      <c r="C146" s="220" t="s">
        <v>271</v>
      </c>
      <c r="D146" s="228">
        <v>1</v>
      </c>
      <c r="E146" s="229">
        <v>84.527000000000001</v>
      </c>
      <c r="F146" s="232">
        <v>93.048000000000002</v>
      </c>
      <c r="G146" s="232">
        <v>8.5210000000000008</v>
      </c>
      <c r="H146" s="231" t="s">
        <v>178</v>
      </c>
      <c r="I146" s="247"/>
      <c r="J146" s="247"/>
      <c r="K146" s="247"/>
      <c r="L146" s="247">
        <v>2.6</v>
      </c>
      <c r="M146" s="247"/>
    </row>
    <row r="147" spans="1:13" ht="28.15" hidden="1" customHeight="1" x14ac:dyDescent="0.3">
      <c r="A147" s="223"/>
      <c r="B147" s="230">
        <v>6</v>
      </c>
      <c r="C147" s="231" t="s">
        <v>200</v>
      </c>
      <c r="D147" s="223">
        <v>1</v>
      </c>
      <c r="E147" s="232">
        <v>82.792000000000002</v>
      </c>
      <c r="F147" s="232">
        <v>93.977999999999994</v>
      </c>
      <c r="G147" s="232">
        <v>11.185999999999993</v>
      </c>
      <c r="H147" s="237" t="s">
        <v>259</v>
      </c>
      <c r="I147" s="248">
        <v>3.4</v>
      </c>
      <c r="J147" s="248"/>
      <c r="K147" s="248"/>
      <c r="L147" s="248"/>
      <c r="M147" s="248"/>
    </row>
    <row r="148" spans="1:13" x14ac:dyDescent="0.3">
      <c r="I148" s="217"/>
    </row>
    <row r="149" spans="1:13" x14ac:dyDescent="0.3">
      <c r="I149" s="217"/>
    </row>
    <row r="150" spans="1:13" x14ac:dyDescent="0.3">
      <c r="I150" s="217"/>
    </row>
    <row r="151" spans="1:13" x14ac:dyDescent="0.3">
      <c r="I151" s="217"/>
    </row>
    <row r="152" spans="1:13" x14ac:dyDescent="0.3">
      <c r="I152" s="217"/>
    </row>
    <row r="153" spans="1:13" x14ac:dyDescent="0.3">
      <c r="I153" s="217"/>
    </row>
    <row r="154" spans="1:13" x14ac:dyDescent="0.3">
      <c r="I154" s="217"/>
    </row>
    <row r="155" spans="1:13" x14ac:dyDescent="0.3">
      <c r="I155" s="217"/>
    </row>
    <row r="156" spans="1:13" x14ac:dyDescent="0.3">
      <c r="I156" s="217"/>
    </row>
    <row r="157" spans="1:13" x14ac:dyDescent="0.3">
      <c r="I157" s="217"/>
    </row>
    <row r="158" spans="1:13" x14ac:dyDescent="0.3">
      <c r="I158" s="217"/>
    </row>
    <row r="159" spans="1:13" x14ac:dyDescent="0.3">
      <c r="I159" s="217"/>
    </row>
    <row r="160" spans="1:13" x14ac:dyDescent="0.3">
      <c r="I160" s="217"/>
    </row>
    <row r="161" spans="9:9" x14ac:dyDescent="0.3">
      <c r="I161" s="217"/>
    </row>
    <row r="162" spans="9:9" x14ac:dyDescent="0.3">
      <c r="I162" s="217"/>
    </row>
    <row r="163" spans="9:9" x14ac:dyDescent="0.3">
      <c r="I163" s="217"/>
    </row>
    <row r="164" spans="9:9" x14ac:dyDescent="0.3">
      <c r="I164" s="217"/>
    </row>
    <row r="165" spans="9:9" x14ac:dyDescent="0.3">
      <c r="I165" s="217"/>
    </row>
    <row r="166" spans="9:9" x14ac:dyDescent="0.3">
      <c r="I166" s="217"/>
    </row>
    <row r="167" spans="9:9" x14ac:dyDescent="0.3">
      <c r="I167" s="217"/>
    </row>
    <row r="168" spans="9:9" x14ac:dyDescent="0.3">
      <c r="I168" s="217"/>
    </row>
    <row r="169" spans="9:9" x14ac:dyDescent="0.3">
      <c r="I169" s="217"/>
    </row>
    <row r="170" spans="9:9" x14ac:dyDescent="0.3">
      <c r="I170" s="217"/>
    </row>
    <row r="171" spans="9:9" x14ac:dyDescent="0.3">
      <c r="I171" s="217"/>
    </row>
    <row r="172" spans="9:9" x14ac:dyDescent="0.3">
      <c r="I172" s="217"/>
    </row>
    <row r="173" spans="9:9" x14ac:dyDescent="0.3">
      <c r="I173" s="217"/>
    </row>
    <row r="174" spans="9:9" x14ac:dyDescent="0.3">
      <c r="I174" s="217"/>
    </row>
    <row r="175" spans="9:9" x14ac:dyDescent="0.3">
      <c r="I175" s="217"/>
    </row>
    <row r="176" spans="9:9" x14ac:dyDescent="0.3">
      <c r="I176" s="217"/>
    </row>
    <row r="177" spans="9:9" x14ac:dyDescent="0.3">
      <c r="I177" s="217"/>
    </row>
    <row r="178" spans="9:9" x14ac:dyDescent="0.3">
      <c r="I178" s="217"/>
    </row>
    <row r="179" spans="9:9" x14ac:dyDescent="0.3">
      <c r="I179" s="217"/>
    </row>
    <row r="180" spans="9:9" x14ac:dyDescent="0.3">
      <c r="I180" s="217"/>
    </row>
    <row r="181" spans="9:9" x14ac:dyDescent="0.3">
      <c r="I181" s="217"/>
    </row>
    <row r="182" spans="9:9" x14ac:dyDescent="0.3">
      <c r="I182" s="217"/>
    </row>
    <row r="183" spans="9:9" x14ac:dyDescent="0.3">
      <c r="I183" s="217"/>
    </row>
    <row r="184" spans="9:9" x14ac:dyDescent="0.3">
      <c r="I184" s="217"/>
    </row>
    <row r="185" spans="9:9" x14ac:dyDescent="0.3">
      <c r="I185" s="217"/>
    </row>
    <row r="186" spans="9:9" x14ac:dyDescent="0.3">
      <c r="I186" s="217"/>
    </row>
    <row r="187" spans="9:9" x14ac:dyDescent="0.3">
      <c r="I187" s="217"/>
    </row>
    <row r="188" spans="9:9" x14ac:dyDescent="0.3">
      <c r="I188" s="217"/>
    </row>
    <row r="189" spans="9:9" x14ac:dyDescent="0.3">
      <c r="I189" s="217"/>
    </row>
    <row r="190" spans="9:9" x14ac:dyDescent="0.3">
      <c r="I190" s="217"/>
    </row>
    <row r="191" spans="9:9" x14ac:dyDescent="0.3">
      <c r="I191" s="217"/>
    </row>
    <row r="192" spans="9:9" x14ac:dyDescent="0.3">
      <c r="I192" s="217"/>
    </row>
    <row r="193" spans="9:9" x14ac:dyDescent="0.3">
      <c r="I193" s="217"/>
    </row>
  </sheetData>
  <autoFilter ref="A5:M147" xr:uid="{00000000-0009-0000-0000-00001C000000}">
    <filterColumn colId="1">
      <filters>
        <filter val="10"/>
        <filter val="2"/>
        <filter val="5"/>
      </filters>
    </filterColumn>
    <sortState xmlns:xlrd2="http://schemas.microsoft.com/office/spreadsheetml/2017/richdata2" ref="A7:O148">
      <sortCondition ref="A6:A148"/>
    </sortState>
  </autoFilter>
  <mergeCells count="9">
    <mergeCell ref="G2:G3"/>
    <mergeCell ref="I2:M2"/>
    <mergeCell ref="H2:H3"/>
    <mergeCell ref="A2:A3"/>
    <mergeCell ref="B2:B3"/>
    <mergeCell ref="C2:C3"/>
    <mergeCell ref="D2:D3"/>
    <mergeCell ref="E2:E3"/>
    <mergeCell ref="F2:F3"/>
  </mergeCells>
  <pageMargins left="0.7" right="0.7" top="0.75" bottom="0.75" header="0.3" footer="0.3"/>
  <pageSetup paperSize="9" orientation="portrait" r:id="rId1"/>
  <customProperties>
    <customPr name="EpmWorksheetKeyString_GUID" r:id="rId2"/>
  </customPropertie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N192"/>
  <sheetViews>
    <sheetView zoomScale="85" zoomScaleNormal="85" workbookViewId="0">
      <pane xSplit="4" ySplit="5" topLeftCell="E6" activePane="bottomRight" state="frozen"/>
      <selection activeCell="O129" sqref="O129"/>
      <selection pane="topRight" activeCell="O129" sqref="O129"/>
      <selection pane="bottomLeft" activeCell="O129" sqref="O129"/>
      <selection pane="bottomRight" activeCell="O129" sqref="O129"/>
    </sheetView>
  </sheetViews>
  <sheetFormatPr defaultColWidth="8.81640625" defaultRowHeight="13" x14ac:dyDescent="0.3"/>
  <cols>
    <col min="1" max="1" width="6.26953125" style="217" customWidth="1"/>
    <col min="2" max="2" width="7.81640625" style="217" customWidth="1"/>
    <col min="3" max="3" width="25.26953125" style="217" customWidth="1"/>
    <col min="4" max="4" width="5.26953125" style="217" customWidth="1"/>
    <col min="5" max="6" width="8.1796875" style="217" bestFit="1" customWidth="1"/>
    <col min="7" max="7" width="7.7265625" style="217" bestFit="1" customWidth="1"/>
    <col min="8" max="8" width="9.81640625" style="217" customWidth="1"/>
    <col min="9" max="9" width="12.453125" style="217" customWidth="1"/>
    <col min="10" max="10" width="7.7265625" style="218" customWidth="1"/>
    <col min="11" max="14" width="7.7265625" style="217" customWidth="1"/>
    <col min="15" max="22" width="8.81640625" style="217"/>
    <col min="23" max="24" width="9" style="217" bestFit="1" customWidth="1"/>
    <col min="25" max="16384" width="8.81640625" style="217"/>
  </cols>
  <sheetData>
    <row r="1" spans="1:14" ht="23.5" customHeight="1" x14ac:dyDescent="0.3">
      <c r="B1" s="241" t="s">
        <v>160</v>
      </c>
      <c r="C1" s="236"/>
      <c r="F1" s="219"/>
      <c r="G1" s="219"/>
      <c r="H1" s="219"/>
      <c r="I1" s="219"/>
      <c r="J1" s="219"/>
      <c r="K1" s="219"/>
      <c r="L1" s="219"/>
      <c r="M1" s="219"/>
      <c r="N1" s="219"/>
    </row>
    <row r="2" spans="1:14" ht="38.25" customHeight="1" x14ac:dyDescent="0.3">
      <c r="A2" s="1624" t="s">
        <v>274</v>
      </c>
      <c r="B2" s="1624" t="s">
        <v>159</v>
      </c>
      <c r="C2" s="1624" t="s">
        <v>275</v>
      </c>
      <c r="D2" s="1624" t="s">
        <v>340</v>
      </c>
      <c r="E2" s="1624" t="s">
        <v>276</v>
      </c>
      <c r="F2" s="1624" t="s">
        <v>277</v>
      </c>
      <c r="G2" s="1624" t="s">
        <v>161</v>
      </c>
      <c r="H2" s="1624" t="s">
        <v>278</v>
      </c>
      <c r="I2" s="1626" t="s">
        <v>458</v>
      </c>
      <c r="J2" s="1625" t="s">
        <v>51</v>
      </c>
      <c r="K2" s="1625"/>
      <c r="L2" s="1625"/>
      <c r="M2" s="1625"/>
      <c r="N2" s="1625"/>
    </row>
    <row r="3" spans="1:14" x14ac:dyDescent="0.3">
      <c r="A3" s="1624"/>
      <c r="B3" s="1624"/>
      <c r="C3" s="1624"/>
      <c r="D3" s="1624"/>
      <c r="E3" s="1624"/>
      <c r="F3" s="1624"/>
      <c r="G3" s="1624"/>
      <c r="H3" s="1624"/>
      <c r="I3" s="1627"/>
      <c r="J3" s="457">
        <v>2016</v>
      </c>
      <c r="K3" s="457">
        <v>2017</v>
      </c>
      <c r="L3" s="457">
        <v>2018</v>
      </c>
      <c r="M3" s="457">
        <v>2019</v>
      </c>
      <c r="N3" s="457">
        <v>2020</v>
      </c>
    </row>
    <row r="4" spans="1:14" ht="15.65" customHeight="1" x14ac:dyDescent="0.3">
      <c r="A4" s="245"/>
      <c r="B4" s="245"/>
      <c r="C4" s="245" t="s">
        <v>280</v>
      </c>
      <c r="D4" s="245"/>
      <c r="E4" s="245"/>
      <c r="F4" s="245"/>
      <c r="G4" s="316">
        <f>SUM(G6:G148)</f>
        <v>787.87099999999953</v>
      </c>
      <c r="H4" s="245"/>
      <c r="I4" s="245"/>
      <c r="J4" s="315">
        <f>SUM(J6:J148)</f>
        <v>33.029499999999999</v>
      </c>
      <c r="K4" s="315">
        <f>SUM(K6:K148)</f>
        <v>42.737999999999992</v>
      </c>
      <c r="L4" s="315">
        <f>SUM(L6:L148)</f>
        <v>58.816999999999993</v>
      </c>
      <c r="M4" s="315">
        <f>SUM(M6:M148)</f>
        <v>63.935999999999986</v>
      </c>
      <c r="N4" s="315">
        <f>SUM(N6:N148)</f>
        <v>57.59</v>
      </c>
    </row>
    <row r="5" spans="1:14" x14ac:dyDescent="0.3">
      <c r="A5" s="251">
        <v>1</v>
      </c>
      <c r="B5" s="251">
        <v>2</v>
      </c>
      <c r="C5" s="251">
        <v>3</v>
      </c>
      <c r="D5" s="251">
        <v>4</v>
      </c>
      <c r="E5" s="251">
        <v>5</v>
      </c>
      <c r="F5" s="251">
        <v>6</v>
      </c>
      <c r="G5" s="251">
        <v>7</v>
      </c>
      <c r="H5" s="251">
        <v>9</v>
      </c>
      <c r="I5" s="251"/>
      <c r="J5" s="251">
        <v>10</v>
      </c>
      <c r="K5" s="251">
        <v>11</v>
      </c>
      <c r="L5" s="251">
        <v>12</v>
      </c>
      <c r="M5" s="251">
        <v>13</v>
      </c>
      <c r="N5" s="251">
        <v>14</v>
      </c>
    </row>
    <row r="6" spans="1:14" ht="15" customHeight="1" x14ac:dyDescent="0.3">
      <c r="A6" s="223">
        <f ca="1">A6:N1470</f>
        <v>0</v>
      </c>
      <c r="B6" s="242">
        <v>2</v>
      </c>
      <c r="C6" s="243" t="s">
        <v>162</v>
      </c>
      <c r="D6" s="224">
        <v>1.2</v>
      </c>
      <c r="E6" s="229">
        <v>12.6</v>
      </c>
      <c r="F6" s="229">
        <v>20</v>
      </c>
      <c r="G6" s="229">
        <v>7.4</v>
      </c>
      <c r="H6" s="227" t="s">
        <v>168</v>
      </c>
      <c r="I6" s="458">
        <v>12234</v>
      </c>
      <c r="J6" s="246"/>
      <c r="K6" s="246"/>
      <c r="L6" s="246"/>
      <c r="M6" s="247">
        <v>10</v>
      </c>
      <c r="N6" s="247"/>
    </row>
    <row r="7" spans="1:14" ht="15" customHeight="1" x14ac:dyDescent="0.3">
      <c r="A7" s="225">
        <v>3</v>
      </c>
      <c r="B7" s="226">
        <v>13103</v>
      </c>
      <c r="C7" s="227" t="s">
        <v>163</v>
      </c>
      <c r="D7" s="228">
        <v>1</v>
      </c>
      <c r="E7" s="229">
        <v>3.9369999999999998</v>
      </c>
      <c r="F7" s="229">
        <v>5.9039999999999999</v>
      </c>
      <c r="G7" s="229">
        <v>1.9670000000000001</v>
      </c>
      <c r="H7" s="227" t="s">
        <v>164</v>
      </c>
      <c r="I7" s="459">
        <v>997</v>
      </c>
      <c r="J7" s="247"/>
      <c r="K7" s="247">
        <v>0.56999999999999995</v>
      </c>
      <c r="L7" s="247"/>
      <c r="M7" s="247"/>
      <c r="N7" s="247"/>
    </row>
    <row r="8" spans="1:14" ht="15" customHeight="1" x14ac:dyDescent="0.3">
      <c r="A8" s="225">
        <v>5</v>
      </c>
      <c r="B8" s="233">
        <v>11112</v>
      </c>
      <c r="C8" s="234" t="s">
        <v>167</v>
      </c>
      <c r="D8" s="235">
        <v>1</v>
      </c>
      <c r="E8" s="238">
        <v>0</v>
      </c>
      <c r="F8" s="239">
        <v>4.1100000000000003</v>
      </c>
      <c r="G8" s="229">
        <v>4.1100000000000003</v>
      </c>
      <c r="H8" s="227" t="s">
        <v>168</v>
      </c>
      <c r="I8" s="460" t="s">
        <v>459</v>
      </c>
      <c r="J8" s="248">
        <v>1.22</v>
      </c>
      <c r="K8" s="248"/>
      <c r="L8" s="248"/>
      <c r="M8" s="248"/>
      <c r="N8" s="248"/>
    </row>
    <row r="9" spans="1:14" ht="15" customHeight="1" x14ac:dyDescent="0.3">
      <c r="A9" s="225">
        <v>6</v>
      </c>
      <c r="B9" s="226">
        <v>13103</v>
      </c>
      <c r="C9" s="227" t="s">
        <v>163</v>
      </c>
      <c r="D9" s="228">
        <v>1</v>
      </c>
      <c r="E9" s="229">
        <v>0</v>
      </c>
      <c r="F9" s="229">
        <v>3.5329999999999999</v>
      </c>
      <c r="G9" s="229">
        <v>3.5329999999999999</v>
      </c>
      <c r="H9" s="227" t="s">
        <v>164</v>
      </c>
      <c r="I9" s="461">
        <v>1053</v>
      </c>
      <c r="J9" s="247">
        <v>0</v>
      </c>
      <c r="K9" s="247">
        <v>1.24</v>
      </c>
      <c r="L9" s="247"/>
      <c r="M9" s="247"/>
      <c r="N9" s="247"/>
    </row>
    <row r="10" spans="1:14" ht="15" customHeight="1" x14ac:dyDescent="0.3">
      <c r="A10" s="225">
        <v>8</v>
      </c>
      <c r="B10" s="230">
        <v>57</v>
      </c>
      <c r="C10" s="231" t="s">
        <v>169</v>
      </c>
      <c r="D10" s="223">
        <v>1</v>
      </c>
      <c r="E10" s="232">
        <v>39.756999999999998</v>
      </c>
      <c r="F10" s="232">
        <v>42.853999999999999</v>
      </c>
      <c r="G10" s="232">
        <v>3.0970000000000013</v>
      </c>
      <c r="H10" s="231" t="s">
        <v>171</v>
      </c>
      <c r="I10" s="462">
        <v>1018</v>
      </c>
      <c r="J10" s="248">
        <v>1.0900000000000001</v>
      </c>
      <c r="K10" s="248"/>
      <c r="L10" s="248"/>
      <c r="M10" s="248"/>
      <c r="N10" s="248"/>
    </row>
    <row r="11" spans="1:14" ht="15" customHeight="1" x14ac:dyDescent="0.3">
      <c r="A11" s="225">
        <v>9</v>
      </c>
      <c r="B11" s="226">
        <v>13147</v>
      </c>
      <c r="C11" s="227" t="s">
        <v>172</v>
      </c>
      <c r="D11" s="228">
        <v>1</v>
      </c>
      <c r="E11" s="229">
        <v>0</v>
      </c>
      <c r="F11" s="229">
        <v>3.532</v>
      </c>
      <c r="G11" s="229">
        <v>3.532</v>
      </c>
      <c r="H11" s="227" t="s">
        <v>164</v>
      </c>
      <c r="I11" s="459" t="s">
        <v>460</v>
      </c>
      <c r="J11" s="247"/>
      <c r="K11" s="247">
        <v>1.04</v>
      </c>
      <c r="L11" s="247"/>
      <c r="M11" s="247"/>
      <c r="N11" s="247"/>
    </row>
    <row r="12" spans="1:14" ht="15" customHeight="1" x14ac:dyDescent="0.3">
      <c r="A12" s="225">
        <v>10</v>
      </c>
      <c r="B12" s="226">
        <v>11345</v>
      </c>
      <c r="C12" s="227" t="s">
        <v>173</v>
      </c>
      <c r="D12" s="228">
        <v>1</v>
      </c>
      <c r="E12" s="229">
        <v>6.742</v>
      </c>
      <c r="F12" s="229">
        <v>7.702</v>
      </c>
      <c r="G12" s="229">
        <v>0.96</v>
      </c>
      <c r="H12" s="227" t="s">
        <v>168</v>
      </c>
      <c r="I12" s="459" t="s">
        <v>461</v>
      </c>
      <c r="J12" s="247"/>
      <c r="K12" s="247"/>
      <c r="L12" s="247">
        <v>0.35</v>
      </c>
      <c r="M12" s="247"/>
      <c r="N12" s="247"/>
    </row>
    <row r="13" spans="1:14" ht="15" customHeight="1" x14ac:dyDescent="0.3">
      <c r="A13" s="225">
        <v>11</v>
      </c>
      <c r="B13" s="226">
        <v>13102</v>
      </c>
      <c r="C13" s="227" t="s">
        <v>174</v>
      </c>
      <c r="D13" s="228">
        <v>1</v>
      </c>
      <c r="E13" s="229">
        <v>4.6150000000000002</v>
      </c>
      <c r="F13" s="229">
        <v>7.1870000000000003</v>
      </c>
      <c r="G13" s="229">
        <v>2.5720000000000001</v>
      </c>
      <c r="H13" s="227" t="s">
        <v>164</v>
      </c>
      <c r="I13" s="461">
        <v>1264</v>
      </c>
      <c r="J13" s="247"/>
      <c r="K13" s="247">
        <v>0.92</v>
      </c>
      <c r="L13" s="247">
        <v>0</v>
      </c>
      <c r="M13" s="247"/>
      <c r="N13" s="247"/>
    </row>
    <row r="14" spans="1:14" ht="15" customHeight="1" x14ac:dyDescent="0.3">
      <c r="A14" s="225">
        <v>12</v>
      </c>
      <c r="B14" s="226">
        <v>21</v>
      </c>
      <c r="C14" s="227" t="s">
        <v>175</v>
      </c>
      <c r="D14" s="228">
        <v>1</v>
      </c>
      <c r="E14" s="229">
        <v>62.1</v>
      </c>
      <c r="F14" s="229">
        <v>69.688000000000002</v>
      </c>
      <c r="G14" s="229">
        <v>7.588000000000001</v>
      </c>
      <c r="H14" s="227" t="s">
        <v>176</v>
      </c>
      <c r="I14" s="461">
        <v>731</v>
      </c>
      <c r="J14" s="247">
        <v>1.97</v>
      </c>
      <c r="K14" s="247"/>
      <c r="L14" s="247"/>
      <c r="M14" s="247"/>
      <c r="N14" s="247"/>
    </row>
    <row r="15" spans="1:14" ht="15" customHeight="1" x14ac:dyDescent="0.3">
      <c r="A15" s="225">
        <v>15</v>
      </c>
      <c r="B15" s="226">
        <v>13115</v>
      </c>
      <c r="C15" s="227" t="s">
        <v>177</v>
      </c>
      <c r="D15" s="228">
        <v>1</v>
      </c>
      <c r="E15" s="229">
        <v>0</v>
      </c>
      <c r="F15" s="229">
        <v>3.3460000000000001</v>
      </c>
      <c r="G15" s="229">
        <v>3.3460000000000001</v>
      </c>
      <c r="H15" s="227" t="s">
        <v>164</v>
      </c>
      <c r="I15" s="461">
        <v>993</v>
      </c>
      <c r="J15" s="247"/>
      <c r="K15" s="247"/>
      <c r="L15" s="247">
        <v>1.01</v>
      </c>
      <c r="M15" s="247"/>
      <c r="N15" s="247"/>
    </row>
    <row r="16" spans="1:14" ht="15" customHeight="1" x14ac:dyDescent="0.3">
      <c r="A16" s="225">
        <v>16</v>
      </c>
      <c r="B16" s="230">
        <v>57</v>
      </c>
      <c r="C16" s="231" t="s">
        <v>169</v>
      </c>
      <c r="D16" s="223">
        <v>1</v>
      </c>
      <c r="E16" s="232">
        <v>16.734999999999999</v>
      </c>
      <c r="F16" s="232">
        <v>22.635000000000002</v>
      </c>
      <c r="G16" s="232">
        <v>5.9000000000000021</v>
      </c>
      <c r="H16" s="231" t="s">
        <v>178</v>
      </c>
      <c r="I16" s="462">
        <v>653</v>
      </c>
      <c r="J16" s="248"/>
      <c r="K16" s="248"/>
      <c r="L16" s="248">
        <f>1.07-0.362</f>
        <v>0.70800000000000007</v>
      </c>
      <c r="M16" s="248">
        <f>1+0.362</f>
        <v>1.3620000000000001</v>
      </c>
      <c r="N16" s="248"/>
    </row>
    <row r="17" spans="1:14" ht="15" customHeight="1" x14ac:dyDescent="0.3">
      <c r="A17" s="225">
        <v>17</v>
      </c>
      <c r="B17" s="226">
        <v>35</v>
      </c>
      <c r="C17" s="227" t="s">
        <v>179</v>
      </c>
      <c r="D17" s="228">
        <v>1</v>
      </c>
      <c r="E17" s="229">
        <v>0.8</v>
      </c>
      <c r="F17" s="229">
        <v>28.417000000000002</v>
      </c>
      <c r="G17" s="229">
        <v>27.617000000000001</v>
      </c>
      <c r="H17" s="227" t="s">
        <v>164</v>
      </c>
      <c r="I17" s="461">
        <v>789</v>
      </c>
      <c r="J17" s="247">
        <v>0</v>
      </c>
      <c r="K17" s="247">
        <v>1.3</v>
      </c>
      <c r="L17" s="247">
        <v>1</v>
      </c>
      <c r="M17" s="247"/>
      <c r="N17" s="247"/>
    </row>
    <row r="18" spans="1:14" ht="15" customHeight="1" x14ac:dyDescent="0.3">
      <c r="A18" s="225">
        <v>18</v>
      </c>
      <c r="B18" s="226">
        <v>11392</v>
      </c>
      <c r="C18" s="227" t="s">
        <v>180</v>
      </c>
      <c r="D18" s="228">
        <v>1</v>
      </c>
      <c r="E18" s="229">
        <v>0</v>
      </c>
      <c r="F18" s="229">
        <v>4.7050000000000001</v>
      </c>
      <c r="G18" s="229">
        <v>4.7050000000000001</v>
      </c>
      <c r="H18" s="227" t="s">
        <v>168</v>
      </c>
      <c r="I18" s="459" t="s">
        <v>462</v>
      </c>
      <c r="J18" s="247"/>
      <c r="K18" s="247">
        <v>1.65</v>
      </c>
      <c r="L18" s="247"/>
      <c r="M18" s="247"/>
      <c r="N18" s="247"/>
    </row>
    <row r="19" spans="1:14" ht="15" customHeight="1" x14ac:dyDescent="0.3">
      <c r="A19" s="225">
        <v>20</v>
      </c>
      <c r="B19" s="226">
        <v>13141</v>
      </c>
      <c r="C19" s="227" t="s">
        <v>181</v>
      </c>
      <c r="D19" s="228">
        <v>1</v>
      </c>
      <c r="E19" s="229">
        <v>0</v>
      </c>
      <c r="F19" s="229">
        <v>0.66</v>
      </c>
      <c r="G19" s="229">
        <v>0.66</v>
      </c>
      <c r="H19" s="227" t="s">
        <v>164</v>
      </c>
      <c r="I19" s="461">
        <v>2558</v>
      </c>
      <c r="J19" s="247"/>
      <c r="K19" s="247"/>
      <c r="L19" s="247">
        <v>0.21</v>
      </c>
      <c r="M19" s="247"/>
      <c r="N19" s="247"/>
    </row>
    <row r="20" spans="1:14" ht="15" customHeight="1" x14ac:dyDescent="0.3">
      <c r="A20" s="225">
        <v>22</v>
      </c>
      <c r="B20" s="233">
        <v>93</v>
      </c>
      <c r="C20" s="234" t="s">
        <v>182</v>
      </c>
      <c r="D20" s="235">
        <v>1</v>
      </c>
      <c r="E20" s="238">
        <v>14.361000000000001</v>
      </c>
      <c r="F20" s="238">
        <v>18.661999999999999</v>
      </c>
      <c r="G20" s="229">
        <v>4.3009999999999984</v>
      </c>
      <c r="H20" s="227" t="s">
        <v>164</v>
      </c>
      <c r="I20" s="460" t="s">
        <v>463</v>
      </c>
      <c r="J20" s="248">
        <v>1.51</v>
      </c>
      <c r="K20" s="248"/>
      <c r="L20" s="248"/>
      <c r="M20" s="248"/>
      <c r="N20" s="248"/>
    </row>
    <row r="21" spans="1:14" ht="15" customHeight="1" x14ac:dyDescent="0.3">
      <c r="A21" s="225">
        <v>23</v>
      </c>
      <c r="B21" s="230">
        <v>90</v>
      </c>
      <c r="C21" s="231" t="s">
        <v>183</v>
      </c>
      <c r="D21" s="223">
        <v>1</v>
      </c>
      <c r="E21" s="232">
        <v>21.094000000000001</v>
      </c>
      <c r="F21" s="232">
        <v>27.300999999999998</v>
      </c>
      <c r="G21" s="232">
        <v>6.2069999999999972</v>
      </c>
      <c r="H21" s="231" t="s">
        <v>184</v>
      </c>
      <c r="I21" s="462">
        <v>968</v>
      </c>
      <c r="J21" s="248"/>
      <c r="K21" s="248"/>
      <c r="L21" s="248"/>
      <c r="M21" s="248">
        <v>2.17</v>
      </c>
      <c r="N21" s="248"/>
    </row>
    <row r="22" spans="1:14" ht="15" customHeight="1" x14ac:dyDescent="0.3">
      <c r="A22" s="225">
        <v>25</v>
      </c>
      <c r="B22" s="230">
        <v>59</v>
      </c>
      <c r="C22" s="231" t="s">
        <v>185</v>
      </c>
      <c r="D22" s="223">
        <v>1</v>
      </c>
      <c r="E22" s="232">
        <v>16.853000000000002</v>
      </c>
      <c r="F22" s="232">
        <v>21.045000000000002</v>
      </c>
      <c r="G22" s="232">
        <v>4.1920000000000002</v>
      </c>
      <c r="H22" s="231" t="s">
        <v>171</v>
      </c>
      <c r="I22" s="463" t="s">
        <v>464</v>
      </c>
      <c r="J22" s="248"/>
      <c r="K22" s="248"/>
      <c r="L22" s="248">
        <v>0</v>
      </c>
      <c r="M22" s="248">
        <f>1.25-0.362</f>
        <v>0.88800000000000001</v>
      </c>
      <c r="N22" s="248"/>
    </row>
    <row r="23" spans="1:14" ht="15" customHeight="1" x14ac:dyDescent="0.3">
      <c r="A23" s="225">
        <v>26</v>
      </c>
      <c r="B23" s="230">
        <v>22103</v>
      </c>
      <c r="C23" s="231" t="s">
        <v>186</v>
      </c>
      <c r="D23" s="223">
        <v>1</v>
      </c>
      <c r="E23" s="232">
        <v>4.2</v>
      </c>
      <c r="F23" s="232">
        <v>7.3319999999999999</v>
      </c>
      <c r="G23" s="232">
        <v>3.1319999999999997</v>
      </c>
      <c r="H23" s="231" t="s">
        <v>166</v>
      </c>
      <c r="I23" s="463" t="s">
        <v>465</v>
      </c>
      <c r="J23" s="248"/>
      <c r="K23" s="248">
        <v>1.2</v>
      </c>
      <c r="L23" s="248">
        <v>0</v>
      </c>
      <c r="M23" s="248"/>
      <c r="N23" s="248"/>
    </row>
    <row r="24" spans="1:14" ht="15" customHeight="1" x14ac:dyDescent="0.3">
      <c r="A24" s="225">
        <v>27</v>
      </c>
      <c r="B24" s="226">
        <v>11125</v>
      </c>
      <c r="C24" s="227" t="s">
        <v>187</v>
      </c>
      <c r="D24" s="228">
        <v>1</v>
      </c>
      <c r="E24" s="229">
        <v>24.119</v>
      </c>
      <c r="F24" s="229">
        <v>28.224</v>
      </c>
      <c r="G24" s="229">
        <v>4.1050000000000004</v>
      </c>
      <c r="H24" s="227" t="s">
        <v>188</v>
      </c>
      <c r="I24" s="459" t="s">
        <v>466</v>
      </c>
      <c r="J24" s="247">
        <v>0</v>
      </c>
      <c r="K24" s="247">
        <v>1.48</v>
      </c>
      <c r="L24" s="247"/>
      <c r="M24" s="247"/>
      <c r="N24" s="247"/>
    </row>
    <row r="25" spans="1:14" ht="15" customHeight="1" x14ac:dyDescent="0.3">
      <c r="A25" s="225">
        <v>28</v>
      </c>
      <c r="B25" s="230">
        <v>81</v>
      </c>
      <c r="C25" s="231" t="s">
        <v>189</v>
      </c>
      <c r="D25" s="223">
        <v>1</v>
      </c>
      <c r="E25" s="232">
        <v>11.414999999999999</v>
      </c>
      <c r="F25" s="232">
        <v>16.914999999999999</v>
      </c>
      <c r="G25" s="232">
        <v>5.5</v>
      </c>
      <c r="H25" s="231" t="s">
        <v>190</v>
      </c>
      <c r="I25" s="462">
        <v>823</v>
      </c>
      <c r="J25" s="248">
        <v>2.16</v>
      </c>
      <c r="K25" s="248"/>
      <c r="L25" s="248"/>
      <c r="M25" s="248"/>
      <c r="N25" s="248"/>
    </row>
    <row r="26" spans="1:14" ht="15" customHeight="1" x14ac:dyDescent="0.3">
      <c r="A26" s="225">
        <v>29</v>
      </c>
      <c r="B26" s="230">
        <v>7</v>
      </c>
      <c r="C26" s="231" t="s">
        <v>191</v>
      </c>
      <c r="D26" s="223">
        <v>1</v>
      </c>
      <c r="E26" s="232">
        <v>195.565</v>
      </c>
      <c r="F26" s="232">
        <v>208.934</v>
      </c>
      <c r="G26" s="232">
        <v>13.369</v>
      </c>
      <c r="H26" s="231" t="s">
        <v>192</v>
      </c>
      <c r="I26" s="463" t="s">
        <v>467</v>
      </c>
      <c r="J26" s="248"/>
      <c r="K26" s="248">
        <v>3.3</v>
      </c>
      <c r="L26" s="248">
        <v>0</v>
      </c>
      <c r="M26" s="248"/>
      <c r="N26" s="248"/>
    </row>
    <row r="27" spans="1:14" ht="15" customHeight="1" x14ac:dyDescent="0.3">
      <c r="A27" s="225">
        <v>31</v>
      </c>
      <c r="B27" s="230">
        <v>90</v>
      </c>
      <c r="C27" s="231" t="s">
        <v>183</v>
      </c>
      <c r="D27" s="223">
        <v>1</v>
      </c>
      <c r="E27" s="232">
        <v>11.295</v>
      </c>
      <c r="F27" s="232">
        <v>21.094000000000001</v>
      </c>
      <c r="G27" s="232">
        <v>9.7990000000000013</v>
      </c>
      <c r="H27" s="231" t="s">
        <v>184</v>
      </c>
      <c r="I27" s="463" t="s">
        <v>468</v>
      </c>
      <c r="J27" s="248"/>
      <c r="K27" s="248">
        <f>2.43-1.36</f>
        <v>1.07</v>
      </c>
      <c r="L27" s="248">
        <f>1+1.362</f>
        <v>2.3620000000000001</v>
      </c>
      <c r="M27" s="248"/>
      <c r="N27" s="248"/>
    </row>
    <row r="28" spans="1:14" ht="15" customHeight="1" x14ac:dyDescent="0.3">
      <c r="A28" s="225">
        <v>32</v>
      </c>
      <c r="B28" s="230">
        <v>19278</v>
      </c>
      <c r="C28" s="231" t="s">
        <v>193</v>
      </c>
      <c r="D28" s="223">
        <v>1</v>
      </c>
      <c r="E28" s="232">
        <v>0</v>
      </c>
      <c r="F28" s="232">
        <v>3.6589999999999998</v>
      </c>
      <c r="G28" s="232">
        <v>3.6589999999999998</v>
      </c>
      <c r="H28" s="231" t="s">
        <v>171</v>
      </c>
      <c r="I28" s="462">
        <v>979</v>
      </c>
      <c r="J28" s="247"/>
      <c r="K28" s="247"/>
      <c r="L28" s="247"/>
      <c r="M28" s="247"/>
      <c r="N28" s="247">
        <v>1.1100000000000001</v>
      </c>
    </row>
    <row r="29" spans="1:14" ht="15" customHeight="1" x14ac:dyDescent="0.3">
      <c r="A29" s="225">
        <v>35</v>
      </c>
      <c r="B29" s="230">
        <v>90</v>
      </c>
      <c r="C29" s="231" t="s">
        <v>183</v>
      </c>
      <c r="D29" s="223">
        <v>1</v>
      </c>
      <c r="E29" s="232">
        <v>27.300999999999998</v>
      </c>
      <c r="F29" s="232">
        <v>34.219000000000001</v>
      </c>
      <c r="G29" s="232">
        <v>6.9180000000000028</v>
      </c>
      <c r="H29" s="231" t="s">
        <v>184</v>
      </c>
      <c r="I29" s="462">
        <v>606</v>
      </c>
      <c r="J29" s="248"/>
      <c r="K29" s="248">
        <v>1</v>
      </c>
      <c r="L29" s="248">
        <v>1.42</v>
      </c>
      <c r="M29" s="248"/>
      <c r="N29" s="248"/>
    </row>
    <row r="30" spans="1:14" ht="15" customHeight="1" x14ac:dyDescent="0.3">
      <c r="A30" s="225">
        <v>36</v>
      </c>
      <c r="B30" s="230">
        <v>45</v>
      </c>
      <c r="C30" s="231" t="s">
        <v>195</v>
      </c>
      <c r="D30" s="223">
        <v>1</v>
      </c>
      <c r="E30" s="232">
        <v>69.626999999999995</v>
      </c>
      <c r="F30" s="232">
        <v>78.251999999999995</v>
      </c>
      <c r="G30" s="232">
        <v>8.625</v>
      </c>
      <c r="H30" s="231" t="s">
        <v>184</v>
      </c>
      <c r="I30" s="462">
        <v>965</v>
      </c>
      <c r="J30" s="248">
        <v>0</v>
      </c>
      <c r="K30" s="248">
        <f>3.04-1</f>
        <v>2.04</v>
      </c>
      <c r="L30" s="248">
        <f>1</f>
        <v>1</v>
      </c>
      <c r="M30" s="248"/>
      <c r="N30" s="248"/>
    </row>
    <row r="31" spans="1:14" ht="15" customHeight="1" x14ac:dyDescent="0.3">
      <c r="A31" s="225">
        <v>38</v>
      </c>
      <c r="B31" s="230">
        <v>59</v>
      </c>
      <c r="C31" s="231" t="s">
        <v>185</v>
      </c>
      <c r="D31" s="223">
        <v>1</v>
      </c>
      <c r="E31" s="232">
        <v>5.9930000000000003</v>
      </c>
      <c r="F31" s="232">
        <v>12.1</v>
      </c>
      <c r="G31" s="232">
        <v>6.1069999999999993</v>
      </c>
      <c r="H31" s="231" t="s">
        <v>171</v>
      </c>
      <c r="I31" s="463" t="s">
        <v>469</v>
      </c>
      <c r="J31" s="248"/>
      <c r="K31" s="248">
        <v>2.02</v>
      </c>
      <c r="L31" s="248">
        <v>0</v>
      </c>
      <c r="M31" s="248"/>
      <c r="N31" s="248"/>
    </row>
    <row r="32" spans="1:14" ht="15" customHeight="1" x14ac:dyDescent="0.3">
      <c r="A32" s="225">
        <v>43</v>
      </c>
      <c r="B32" s="226">
        <v>88</v>
      </c>
      <c r="C32" s="227" t="s">
        <v>197</v>
      </c>
      <c r="D32" s="228">
        <v>1</v>
      </c>
      <c r="E32" s="229">
        <v>33.073</v>
      </c>
      <c r="F32" s="229">
        <v>36.206000000000003</v>
      </c>
      <c r="G32" s="229">
        <v>3.1330000000000027</v>
      </c>
      <c r="H32" s="227" t="s">
        <v>198</v>
      </c>
      <c r="I32" s="461">
        <v>553</v>
      </c>
      <c r="J32" s="247"/>
      <c r="K32" s="247"/>
      <c r="L32" s="247">
        <v>0.95</v>
      </c>
      <c r="M32" s="247"/>
      <c r="N32" s="247"/>
    </row>
    <row r="33" spans="1:14" ht="15" customHeight="1" x14ac:dyDescent="0.3">
      <c r="A33" s="225">
        <v>44</v>
      </c>
      <c r="B33" s="230">
        <v>45</v>
      </c>
      <c r="C33" s="231" t="s">
        <v>195</v>
      </c>
      <c r="D33" s="223">
        <v>1</v>
      </c>
      <c r="E33" s="232">
        <v>78.251999999999995</v>
      </c>
      <c r="F33" s="232">
        <v>85.613</v>
      </c>
      <c r="G33" s="232">
        <v>7.3610000000000042</v>
      </c>
      <c r="H33" s="231" t="s">
        <v>184</v>
      </c>
      <c r="I33" s="463" t="s">
        <v>470</v>
      </c>
      <c r="J33" s="248"/>
      <c r="K33" s="248"/>
      <c r="L33" s="248"/>
      <c r="M33" s="248">
        <f>0.548</f>
        <v>0.54800000000000004</v>
      </c>
      <c r="N33" s="248">
        <f>2.052</f>
        <v>2.052</v>
      </c>
    </row>
    <row r="34" spans="1:14" ht="15" customHeight="1" x14ac:dyDescent="0.3">
      <c r="A34" s="225">
        <v>45</v>
      </c>
      <c r="B34" s="230">
        <v>36</v>
      </c>
      <c r="C34" s="231" t="s">
        <v>199</v>
      </c>
      <c r="D34" s="223">
        <v>1</v>
      </c>
      <c r="E34" s="232">
        <v>33.700000000000003</v>
      </c>
      <c r="F34" s="232">
        <v>38.909999999999997</v>
      </c>
      <c r="G34" s="232">
        <v>5.2099999999999937</v>
      </c>
      <c r="H34" s="231" t="s">
        <v>176</v>
      </c>
      <c r="I34" s="463" t="s">
        <v>471</v>
      </c>
      <c r="J34" s="248"/>
      <c r="K34" s="248">
        <v>1.135</v>
      </c>
      <c r="L34" s="248">
        <v>0.95599999999999996</v>
      </c>
      <c r="M34" s="248"/>
      <c r="N34" s="248"/>
    </row>
    <row r="35" spans="1:14" ht="15" customHeight="1" x14ac:dyDescent="0.3">
      <c r="A35" s="225">
        <v>46</v>
      </c>
      <c r="B35" s="230">
        <v>6</v>
      </c>
      <c r="C35" s="231" t="s">
        <v>200</v>
      </c>
      <c r="D35" s="223">
        <v>1</v>
      </c>
      <c r="E35" s="232">
        <v>75.129000000000005</v>
      </c>
      <c r="F35" s="232">
        <v>82.792000000000002</v>
      </c>
      <c r="G35" s="232">
        <v>7.6629999999999967</v>
      </c>
      <c r="H35" s="231" t="s">
        <v>178</v>
      </c>
      <c r="I35" s="463" t="s">
        <v>472</v>
      </c>
      <c r="J35" s="248"/>
      <c r="K35" s="248"/>
      <c r="L35" s="248"/>
      <c r="M35" s="248">
        <v>2.67</v>
      </c>
      <c r="N35" s="248"/>
    </row>
    <row r="36" spans="1:14" ht="15" customHeight="1" x14ac:dyDescent="0.3">
      <c r="A36" s="225">
        <v>47</v>
      </c>
      <c r="B36" s="226">
        <v>17142</v>
      </c>
      <c r="C36" s="227" t="s">
        <v>201</v>
      </c>
      <c r="D36" s="228">
        <v>1</v>
      </c>
      <c r="E36" s="229">
        <v>11.468999999999999</v>
      </c>
      <c r="F36" s="229">
        <v>14.519</v>
      </c>
      <c r="G36" s="229">
        <v>3.0500000000000007</v>
      </c>
      <c r="H36" s="227" t="s">
        <v>198</v>
      </c>
      <c r="I36" s="461">
        <v>919</v>
      </c>
      <c r="J36" s="247"/>
      <c r="K36" s="247"/>
      <c r="L36" s="247"/>
      <c r="M36" s="247">
        <v>0.89</v>
      </c>
      <c r="N36" s="247"/>
    </row>
    <row r="37" spans="1:14" ht="15" customHeight="1" x14ac:dyDescent="0.3">
      <c r="A37" s="225">
        <v>48</v>
      </c>
      <c r="B37" s="230">
        <v>63</v>
      </c>
      <c r="C37" s="231" t="s">
        <v>202</v>
      </c>
      <c r="D37" s="223">
        <v>1</v>
      </c>
      <c r="E37" s="232">
        <v>0</v>
      </c>
      <c r="F37" s="232">
        <v>3.1829999999999998</v>
      </c>
      <c r="G37" s="232">
        <v>3.1829999999999998</v>
      </c>
      <c r="H37" s="231" t="s">
        <v>184</v>
      </c>
      <c r="I37" s="462">
        <v>611</v>
      </c>
      <c r="J37" s="248"/>
      <c r="K37" s="248"/>
      <c r="L37" s="248"/>
      <c r="M37" s="248">
        <v>1.0900000000000001</v>
      </c>
      <c r="N37" s="248"/>
    </row>
    <row r="38" spans="1:14" ht="15" customHeight="1" x14ac:dyDescent="0.3">
      <c r="A38" s="225">
        <v>49</v>
      </c>
      <c r="B38" s="230">
        <v>38</v>
      </c>
      <c r="C38" s="231" t="s">
        <v>203</v>
      </c>
      <c r="D38" s="223">
        <v>1</v>
      </c>
      <c r="E38" s="232">
        <v>21.021999999999998</v>
      </c>
      <c r="F38" s="232">
        <v>27.574999999999999</v>
      </c>
      <c r="G38" s="232">
        <v>6.5530000000000008</v>
      </c>
      <c r="H38" s="231" t="s">
        <v>178</v>
      </c>
      <c r="I38" s="462">
        <v>949</v>
      </c>
      <c r="J38" s="248"/>
      <c r="K38" s="248"/>
      <c r="L38" s="248"/>
      <c r="M38" s="248"/>
      <c r="N38" s="248">
        <v>2.0099999999999998</v>
      </c>
    </row>
    <row r="39" spans="1:14" ht="15" customHeight="1" x14ac:dyDescent="0.3">
      <c r="A39" s="225">
        <v>51</v>
      </c>
      <c r="B39" s="230">
        <v>36</v>
      </c>
      <c r="C39" s="231" t="s">
        <v>199</v>
      </c>
      <c r="D39" s="223">
        <v>1</v>
      </c>
      <c r="E39" s="232">
        <v>25.724</v>
      </c>
      <c r="F39" s="232">
        <v>33.700000000000003</v>
      </c>
      <c r="G39" s="232">
        <v>7.9760000000000026</v>
      </c>
      <c r="H39" s="231" t="s">
        <v>176</v>
      </c>
      <c r="I39" s="462">
        <v>1025</v>
      </c>
      <c r="J39" s="248"/>
      <c r="K39" s="248">
        <v>2.798</v>
      </c>
      <c r="L39" s="248"/>
      <c r="M39" s="248"/>
      <c r="N39" s="248"/>
    </row>
    <row r="40" spans="1:14" ht="15" customHeight="1" x14ac:dyDescent="0.3">
      <c r="A40" s="225">
        <v>53</v>
      </c>
      <c r="B40" s="230">
        <v>70</v>
      </c>
      <c r="C40" s="231" t="s">
        <v>204</v>
      </c>
      <c r="D40" s="223">
        <v>1</v>
      </c>
      <c r="E40" s="232">
        <v>1.008</v>
      </c>
      <c r="F40" s="232">
        <v>6.9420000000000002</v>
      </c>
      <c r="G40" s="232">
        <v>5.9340000000000002</v>
      </c>
      <c r="H40" s="231" t="s">
        <v>192</v>
      </c>
      <c r="I40" s="462">
        <v>883</v>
      </c>
      <c r="J40" s="248"/>
      <c r="K40" s="248"/>
      <c r="L40" s="248"/>
      <c r="M40" s="248">
        <v>2.09</v>
      </c>
      <c r="N40" s="248"/>
    </row>
    <row r="41" spans="1:14" ht="15" customHeight="1" x14ac:dyDescent="0.3">
      <c r="A41" s="225">
        <v>54</v>
      </c>
      <c r="B41" s="226">
        <v>91</v>
      </c>
      <c r="C41" s="227" t="s">
        <v>205</v>
      </c>
      <c r="D41" s="228">
        <v>1</v>
      </c>
      <c r="E41" s="229">
        <v>19.081</v>
      </c>
      <c r="F41" s="229">
        <v>26.334</v>
      </c>
      <c r="G41" s="229">
        <v>7.2530000000000001</v>
      </c>
      <c r="H41" s="227" t="s">
        <v>164</v>
      </c>
      <c r="I41" s="461">
        <v>1217</v>
      </c>
      <c r="J41" s="247"/>
      <c r="K41" s="247"/>
      <c r="L41" s="247">
        <v>1.54</v>
      </c>
      <c r="M41" s="247"/>
      <c r="N41" s="247"/>
    </row>
    <row r="42" spans="1:14" ht="15" customHeight="1" x14ac:dyDescent="0.3">
      <c r="A42" s="225">
        <v>57</v>
      </c>
      <c r="B42" s="226">
        <v>11152</v>
      </c>
      <c r="C42" s="227" t="s">
        <v>206</v>
      </c>
      <c r="D42" s="228">
        <v>1</v>
      </c>
      <c r="E42" s="229">
        <v>2.8</v>
      </c>
      <c r="F42" s="229">
        <v>5.0049999999999999</v>
      </c>
      <c r="G42" s="229">
        <v>2.2050000000000001</v>
      </c>
      <c r="H42" s="227" t="s">
        <v>168</v>
      </c>
      <c r="I42" s="459" t="s">
        <v>473</v>
      </c>
      <c r="J42" s="247"/>
      <c r="K42" s="247"/>
      <c r="L42" s="247">
        <v>0.67</v>
      </c>
      <c r="M42" s="247"/>
      <c r="N42" s="247"/>
    </row>
    <row r="43" spans="1:14" ht="15" customHeight="1" x14ac:dyDescent="0.3">
      <c r="A43" s="225">
        <v>58</v>
      </c>
      <c r="B43" s="230">
        <v>89</v>
      </c>
      <c r="C43" s="231" t="s">
        <v>207</v>
      </c>
      <c r="D43" s="223">
        <v>1</v>
      </c>
      <c r="E43" s="232">
        <v>0</v>
      </c>
      <c r="F43" s="232">
        <v>9.1</v>
      </c>
      <c r="G43" s="232">
        <f>F43-E43</f>
        <v>9.1</v>
      </c>
      <c r="H43" s="231" t="s">
        <v>184</v>
      </c>
      <c r="I43" s="462">
        <v>990</v>
      </c>
      <c r="J43" s="248">
        <v>3.24</v>
      </c>
      <c r="K43" s="248"/>
      <c r="L43" s="248"/>
      <c r="M43" s="248"/>
      <c r="N43" s="248"/>
    </row>
    <row r="44" spans="1:14" ht="15" customHeight="1" x14ac:dyDescent="0.3">
      <c r="A44" s="225">
        <v>59</v>
      </c>
      <c r="B44" s="230">
        <v>61</v>
      </c>
      <c r="C44" s="231" t="s">
        <v>208</v>
      </c>
      <c r="D44" s="223">
        <v>1</v>
      </c>
      <c r="E44" s="232">
        <v>16.920000000000002</v>
      </c>
      <c r="F44" s="232">
        <v>22.151</v>
      </c>
      <c r="G44" s="232">
        <v>5.2309999999999981</v>
      </c>
      <c r="H44" s="231" t="s">
        <v>184</v>
      </c>
      <c r="I44" s="462">
        <v>2483</v>
      </c>
      <c r="J44" s="248"/>
      <c r="K44" s="248">
        <v>1.79</v>
      </c>
      <c r="L44" s="248"/>
      <c r="M44" s="248"/>
      <c r="N44" s="248"/>
    </row>
    <row r="45" spans="1:14" ht="15" customHeight="1" x14ac:dyDescent="0.3">
      <c r="A45" s="225">
        <v>60</v>
      </c>
      <c r="B45" s="230">
        <v>81</v>
      </c>
      <c r="C45" s="231" t="s">
        <v>189</v>
      </c>
      <c r="D45" s="223">
        <v>1</v>
      </c>
      <c r="E45" s="232">
        <v>16.914999999999999</v>
      </c>
      <c r="F45" s="232">
        <v>21.69</v>
      </c>
      <c r="G45" s="232">
        <v>4.7750000000000021</v>
      </c>
      <c r="H45" s="231" t="s">
        <v>190</v>
      </c>
      <c r="I45" s="462">
        <v>823</v>
      </c>
      <c r="J45" s="247"/>
      <c r="K45" s="247"/>
      <c r="L45" s="247">
        <v>1.45</v>
      </c>
      <c r="M45" s="247"/>
      <c r="N45" s="247"/>
    </row>
    <row r="46" spans="1:14" ht="15" customHeight="1" x14ac:dyDescent="0.3">
      <c r="A46" s="225">
        <v>61</v>
      </c>
      <c r="B46" s="230">
        <v>17</v>
      </c>
      <c r="C46" s="231" t="s">
        <v>209</v>
      </c>
      <c r="D46" s="223">
        <v>1</v>
      </c>
      <c r="E46" s="232">
        <v>44.694000000000003</v>
      </c>
      <c r="F46" s="232">
        <v>54.890999999999998</v>
      </c>
      <c r="G46" s="232">
        <v>10.196999999999996</v>
      </c>
      <c r="H46" s="231" t="s">
        <v>170</v>
      </c>
      <c r="I46" s="462">
        <v>803</v>
      </c>
      <c r="J46" s="248"/>
      <c r="K46" s="248"/>
      <c r="L46" s="248">
        <v>3.1</v>
      </c>
      <c r="M46" s="248"/>
      <c r="N46" s="248"/>
    </row>
    <row r="47" spans="1:14" ht="15" customHeight="1" x14ac:dyDescent="0.3">
      <c r="A47" s="225">
        <v>62</v>
      </c>
      <c r="B47" s="230">
        <v>25194</v>
      </c>
      <c r="C47" s="231" t="s">
        <v>210</v>
      </c>
      <c r="D47" s="223">
        <v>1</v>
      </c>
      <c r="E47" s="232">
        <v>0</v>
      </c>
      <c r="F47" s="232">
        <v>1.198</v>
      </c>
      <c r="G47" s="232">
        <v>1.198</v>
      </c>
      <c r="H47" s="231" t="s">
        <v>192</v>
      </c>
      <c r="I47" s="463" t="s">
        <v>474</v>
      </c>
      <c r="J47" s="247"/>
      <c r="K47" s="247"/>
      <c r="L47" s="247"/>
      <c r="M47" s="247">
        <v>0.45</v>
      </c>
      <c r="N47" s="247"/>
    </row>
    <row r="48" spans="1:14" ht="15" customHeight="1" x14ac:dyDescent="0.3">
      <c r="A48" s="225">
        <v>63</v>
      </c>
      <c r="B48" s="226">
        <v>93</v>
      </c>
      <c r="C48" s="227" t="s">
        <v>182</v>
      </c>
      <c r="D48" s="228">
        <v>1</v>
      </c>
      <c r="E48" s="229">
        <v>0</v>
      </c>
      <c r="F48" s="229">
        <v>0.45900000000000002</v>
      </c>
      <c r="G48" s="229">
        <v>0.45900000000000002</v>
      </c>
      <c r="H48" s="227" t="s">
        <v>164</v>
      </c>
      <c r="I48" s="461">
        <v>3832</v>
      </c>
      <c r="J48" s="247"/>
      <c r="K48" s="247"/>
      <c r="L48" s="247">
        <v>0.16</v>
      </c>
      <c r="M48" s="247"/>
      <c r="N48" s="247"/>
    </row>
    <row r="49" spans="1:14" ht="15" customHeight="1" x14ac:dyDescent="0.3">
      <c r="A49" s="225">
        <v>64</v>
      </c>
      <c r="B49" s="226">
        <v>11202</v>
      </c>
      <c r="C49" s="227" t="s">
        <v>211</v>
      </c>
      <c r="D49" s="228">
        <v>1</v>
      </c>
      <c r="E49" s="229">
        <v>25.25</v>
      </c>
      <c r="F49" s="229">
        <v>26.901</v>
      </c>
      <c r="G49" s="229">
        <v>1.6509999999999998</v>
      </c>
      <c r="H49" s="227" t="s">
        <v>212</v>
      </c>
      <c r="I49" s="461">
        <v>1707</v>
      </c>
      <c r="J49" s="247"/>
      <c r="K49" s="247"/>
      <c r="L49" s="247"/>
      <c r="M49" s="247">
        <v>0.59</v>
      </c>
      <c r="N49" s="247"/>
    </row>
    <row r="50" spans="1:14" ht="15" customHeight="1" x14ac:dyDescent="0.3">
      <c r="A50" s="225">
        <v>65</v>
      </c>
      <c r="B50" s="226">
        <v>11306</v>
      </c>
      <c r="C50" s="227" t="s">
        <v>213</v>
      </c>
      <c r="D50" s="228">
        <v>1</v>
      </c>
      <c r="E50" s="229">
        <v>0</v>
      </c>
      <c r="F50" s="229">
        <v>1.758</v>
      </c>
      <c r="G50" s="229">
        <v>1.758</v>
      </c>
      <c r="H50" s="227" t="s">
        <v>168</v>
      </c>
      <c r="I50" s="461">
        <v>976</v>
      </c>
      <c r="J50" s="247"/>
      <c r="K50" s="247"/>
      <c r="L50" s="247"/>
      <c r="M50" s="247">
        <v>0.5</v>
      </c>
      <c r="N50" s="247"/>
    </row>
    <row r="51" spans="1:14" ht="15" customHeight="1" x14ac:dyDescent="0.3">
      <c r="A51" s="225">
        <v>66</v>
      </c>
      <c r="B51" s="230">
        <v>43</v>
      </c>
      <c r="C51" s="231" t="s">
        <v>214</v>
      </c>
      <c r="D51" s="223">
        <v>1</v>
      </c>
      <c r="E51" s="232">
        <v>30.739000000000001</v>
      </c>
      <c r="F51" s="232">
        <v>40.750999999999998</v>
      </c>
      <c r="G51" s="232">
        <v>10.011999999999997</v>
      </c>
      <c r="H51" s="237" t="s">
        <v>215</v>
      </c>
      <c r="I51" s="463" t="s">
        <v>475</v>
      </c>
      <c r="J51" s="248"/>
      <c r="K51" s="248"/>
      <c r="L51" s="248">
        <f>3.547-1.822</f>
        <v>1.7250000000000001</v>
      </c>
      <c r="M51" s="248">
        <f>1.822</f>
        <v>1.8220000000000001</v>
      </c>
      <c r="N51" s="248"/>
    </row>
    <row r="52" spans="1:14" ht="15" customHeight="1" x14ac:dyDescent="0.3">
      <c r="A52" s="225">
        <v>67</v>
      </c>
      <c r="B52" s="230">
        <v>43</v>
      </c>
      <c r="C52" s="231" t="s">
        <v>214</v>
      </c>
      <c r="D52" s="223">
        <v>1</v>
      </c>
      <c r="E52" s="232">
        <v>20.87</v>
      </c>
      <c r="F52" s="232">
        <v>30.739000000000001</v>
      </c>
      <c r="G52" s="232">
        <v>9.8689999999999998</v>
      </c>
      <c r="H52" s="231" t="s">
        <v>166</v>
      </c>
      <c r="I52" s="463" t="s">
        <v>476</v>
      </c>
      <c r="J52" s="248">
        <v>2.23</v>
      </c>
      <c r="K52" s="248"/>
      <c r="L52" s="248"/>
      <c r="M52" s="248"/>
      <c r="N52" s="248"/>
    </row>
    <row r="53" spans="1:14" ht="15" customHeight="1" x14ac:dyDescent="0.3">
      <c r="A53" s="223">
        <v>68</v>
      </c>
      <c r="B53" s="230">
        <v>65</v>
      </c>
      <c r="C53" s="231" t="s">
        <v>216</v>
      </c>
      <c r="D53" s="223">
        <v>1</v>
      </c>
      <c r="E53" s="232">
        <v>35.006999999999998</v>
      </c>
      <c r="F53" s="232">
        <v>43.4</v>
      </c>
      <c r="G53" s="232">
        <v>8.3930000000000007</v>
      </c>
      <c r="H53" s="231" t="s">
        <v>184</v>
      </c>
      <c r="I53" s="462">
        <v>592</v>
      </c>
      <c r="J53" s="247"/>
      <c r="K53" s="247"/>
      <c r="L53" s="247">
        <v>1.6E-2</v>
      </c>
      <c r="M53" s="247">
        <v>2.5139999999999998</v>
      </c>
      <c r="N53" s="247"/>
    </row>
    <row r="54" spans="1:14" ht="15" customHeight="1" x14ac:dyDescent="0.3">
      <c r="A54" s="225">
        <v>69</v>
      </c>
      <c r="B54" s="226">
        <v>33</v>
      </c>
      <c r="C54" s="227" t="s">
        <v>217</v>
      </c>
      <c r="D54" s="228">
        <v>1</v>
      </c>
      <c r="E54" s="229">
        <v>1.637</v>
      </c>
      <c r="F54" s="229">
        <v>3.4140000000000001</v>
      </c>
      <c r="G54" s="229">
        <v>1.7770000000000001</v>
      </c>
      <c r="H54" s="227" t="s">
        <v>164</v>
      </c>
      <c r="I54" s="461">
        <v>2512</v>
      </c>
      <c r="J54" s="247"/>
      <c r="K54" s="247"/>
      <c r="L54" s="247">
        <v>0.68</v>
      </c>
      <c r="M54" s="247"/>
      <c r="N54" s="247"/>
    </row>
    <row r="55" spans="1:14" ht="15" customHeight="1" x14ac:dyDescent="0.3">
      <c r="A55" s="223">
        <v>70</v>
      </c>
      <c r="B55" s="226">
        <v>21</v>
      </c>
      <c r="C55" s="227" t="s">
        <v>175</v>
      </c>
      <c r="D55" s="228">
        <v>1</v>
      </c>
      <c r="E55" s="229">
        <v>36</v>
      </c>
      <c r="F55" s="229">
        <v>44.503</v>
      </c>
      <c r="G55" s="229">
        <v>8.5030000000000001</v>
      </c>
      <c r="H55" s="227" t="s">
        <v>198</v>
      </c>
      <c r="I55" s="461">
        <v>520</v>
      </c>
      <c r="J55" s="247"/>
      <c r="K55" s="247"/>
      <c r="L55" s="247">
        <v>3.05</v>
      </c>
      <c r="M55" s="247"/>
      <c r="N55" s="247"/>
    </row>
    <row r="56" spans="1:14" ht="15" customHeight="1" x14ac:dyDescent="0.3">
      <c r="A56" s="225">
        <v>71</v>
      </c>
      <c r="B56" s="226">
        <v>11280</v>
      </c>
      <c r="C56" s="227" t="s">
        <v>218</v>
      </c>
      <c r="D56" s="228">
        <v>1</v>
      </c>
      <c r="E56" s="229">
        <v>0</v>
      </c>
      <c r="F56" s="229">
        <v>1.1000000000000001</v>
      </c>
      <c r="G56" s="229">
        <v>1.1000000000000001</v>
      </c>
      <c r="H56" s="227" t="s">
        <v>168</v>
      </c>
      <c r="I56" s="459" t="s">
        <v>477</v>
      </c>
      <c r="J56" s="247"/>
      <c r="K56" s="247">
        <v>0.38</v>
      </c>
      <c r="L56" s="247"/>
      <c r="M56" s="247"/>
      <c r="N56" s="247"/>
    </row>
    <row r="57" spans="1:14" ht="15" customHeight="1" x14ac:dyDescent="0.3">
      <c r="A57" s="223">
        <v>72</v>
      </c>
      <c r="B57" s="230">
        <v>49</v>
      </c>
      <c r="C57" s="231" t="s">
        <v>219</v>
      </c>
      <c r="D57" s="223">
        <v>1</v>
      </c>
      <c r="E57" s="232">
        <v>47.978999999999999</v>
      </c>
      <c r="F57" s="232">
        <v>49.119</v>
      </c>
      <c r="G57" s="232">
        <v>1.1400000000000006</v>
      </c>
      <c r="H57" s="231" t="s">
        <v>178</v>
      </c>
      <c r="I57" s="463" t="s">
        <v>478</v>
      </c>
      <c r="J57" s="248"/>
      <c r="K57" s="248">
        <v>0.36499999999999999</v>
      </c>
      <c r="L57" s="248"/>
      <c r="M57" s="248"/>
      <c r="N57" s="248"/>
    </row>
    <row r="58" spans="1:14" ht="15" customHeight="1" x14ac:dyDescent="0.3">
      <c r="A58" s="225">
        <v>73</v>
      </c>
      <c r="B58" s="226">
        <v>13101</v>
      </c>
      <c r="C58" s="227" t="s">
        <v>220</v>
      </c>
      <c r="D58" s="228">
        <v>1</v>
      </c>
      <c r="E58" s="229">
        <v>0</v>
      </c>
      <c r="F58" s="229">
        <v>2.94</v>
      </c>
      <c r="G58" s="229">
        <v>2.94</v>
      </c>
      <c r="H58" s="227" t="s">
        <v>164</v>
      </c>
      <c r="I58" s="459" t="s">
        <v>479</v>
      </c>
      <c r="J58" s="247"/>
      <c r="K58" s="247"/>
      <c r="L58" s="247">
        <v>1.2</v>
      </c>
      <c r="M58" s="247"/>
      <c r="N58" s="247"/>
    </row>
    <row r="59" spans="1:14" ht="15" customHeight="1" x14ac:dyDescent="0.3">
      <c r="A59" s="223">
        <v>76</v>
      </c>
      <c r="B59" s="230">
        <v>25150</v>
      </c>
      <c r="C59" s="231" t="s">
        <v>221</v>
      </c>
      <c r="D59" s="223">
        <v>1</v>
      </c>
      <c r="E59" s="232">
        <v>7.306</v>
      </c>
      <c r="F59" s="232">
        <v>10.553000000000001</v>
      </c>
      <c r="G59" s="232">
        <v>3.2470000000000008</v>
      </c>
      <c r="H59" s="231" t="s">
        <v>192</v>
      </c>
      <c r="I59" s="463" t="s">
        <v>480</v>
      </c>
      <c r="J59" s="248"/>
      <c r="K59" s="248"/>
      <c r="L59" s="248">
        <v>1.25</v>
      </c>
      <c r="M59" s="248"/>
      <c r="N59" s="248"/>
    </row>
    <row r="60" spans="1:14" ht="15" customHeight="1" x14ac:dyDescent="0.3">
      <c r="A60" s="225">
        <v>77</v>
      </c>
      <c r="B60" s="226">
        <v>13126</v>
      </c>
      <c r="C60" s="227" t="s">
        <v>222</v>
      </c>
      <c r="D60" s="228">
        <v>1</v>
      </c>
      <c r="E60" s="229">
        <v>3.5</v>
      </c>
      <c r="F60" s="229">
        <v>10</v>
      </c>
      <c r="G60" s="229">
        <v>6.5</v>
      </c>
      <c r="H60" s="227" t="s">
        <v>164</v>
      </c>
      <c r="I60" s="459" t="s">
        <v>481</v>
      </c>
      <c r="J60" s="247">
        <v>2.16</v>
      </c>
      <c r="K60" s="247"/>
      <c r="L60" s="247"/>
      <c r="M60" s="247"/>
      <c r="N60" s="247"/>
    </row>
    <row r="61" spans="1:14" ht="15" customHeight="1" x14ac:dyDescent="0.3">
      <c r="A61" s="225">
        <v>79</v>
      </c>
      <c r="B61" s="230">
        <v>13114</v>
      </c>
      <c r="C61" s="231" t="s">
        <v>223</v>
      </c>
      <c r="D61" s="223">
        <v>1</v>
      </c>
      <c r="E61" s="232">
        <v>4.82</v>
      </c>
      <c r="F61" s="232">
        <v>7.1520000000000001</v>
      </c>
      <c r="G61" s="232">
        <v>2.3319999999999999</v>
      </c>
      <c r="H61" s="231" t="s">
        <v>176</v>
      </c>
      <c r="I61" s="462">
        <v>1415</v>
      </c>
      <c r="J61" s="247"/>
      <c r="K61" s="247"/>
      <c r="L61" s="247">
        <v>0.69</v>
      </c>
      <c r="M61" s="247"/>
      <c r="N61" s="247"/>
    </row>
    <row r="62" spans="1:14" ht="15" customHeight="1" x14ac:dyDescent="0.3">
      <c r="A62" s="223">
        <v>80</v>
      </c>
      <c r="B62" s="230">
        <v>17</v>
      </c>
      <c r="C62" s="231" t="s">
        <v>209</v>
      </c>
      <c r="D62" s="223">
        <v>1</v>
      </c>
      <c r="E62" s="232">
        <v>54.890999999999998</v>
      </c>
      <c r="F62" s="232">
        <v>62.819000000000003</v>
      </c>
      <c r="G62" s="232">
        <v>7.9280000000000044</v>
      </c>
      <c r="H62" s="231" t="s">
        <v>170</v>
      </c>
      <c r="I62" s="463" t="s">
        <v>482</v>
      </c>
      <c r="J62" s="248"/>
      <c r="K62" s="248"/>
      <c r="L62" s="248">
        <v>2.1160000000000001</v>
      </c>
      <c r="M62" s="248">
        <v>0.27</v>
      </c>
      <c r="N62" s="248"/>
    </row>
    <row r="63" spans="1:14" ht="15" customHeight="1" x14ac:dyDescent="0.3">
      <c r="A63" s="225">
        <v>81</v>
      </c>
      <c r="B63" s="230">
        <v>58</v>
      </c>
      <c r="C63" s="231" t="s">
        <v>224</v>
      </c>
      <c r="D63" s="223">
        <v>1</v>
      </c>
      <c r="E63" s="232">
        <v>0.1</v>
      </c>
      <c r="F63" s="232">
        <v>5.968</v>
      </c>
      <c r="G63" s="232">
        <v>5.8680000000000003</v>
      </c>
      <c r="H63" s="231" t="s">
        <v>171</v>
      </c>
      <c r="I63" s="462">
        <v>637</v>
      </c>
      <c r="J63" s="247"/>
      <c r="K63" s="247"/>
      <c r="L63" s="247">
        <v>1.49</v>
      </c>
      <c r="M63" s="247"/>
      <c r="N63" s="247"/>
    </row>
    <row r="64" spans="1:14" ht="15" customHeight="1" x14ac:dyDescent="0.3">
      <c r="A64" s="225">
        <v>83</v>
      </c>
      <c r="B64" s="226">
        <v>11125</v>
      </c>
      <c r="C64" s="227" t="s">
        <v>187</v>
      </c>
      <c r="D64" s="228">
        <v>1</v>
      </c>
      <c r="E64" s="229">
        <v>6</v>
      </c>
      <c r="F64" s="229">
        <v>10.717000000000001</v>
      </c>
      <c r="G64" s="229">
        <v>4.7170000000000005</v>
      </c>
      <c r="H64" s="227" t="s">
        <v>168</v>
      </c>
      <c r="I64" s="461">
        <v>1214</v>
      </c>
      <c r="J64" s="247"/>
      <c r="K64" s="247"/>
      <c r="L64" s="247">
        <v>1.4</v>
      </c>
      <c r="M64" s="247"/>
      <c r="N64" s="247"/>
    </row>
    <row r="65" spans="1:14" ht="15" customHeight="1" x14ac:dyDescent="0.3">
      <c r="A65" s="225">
        <v>85</v>
      </c>
      <c r="B65" s="230">
        <v>90</v>
      </c>
      <c r="C65" s="231" t="s">
        <v>183</v>
      </c>
      <c r="D65" s="223">
        <v>1</v>
      </c>
      <c r="E65" s="232">
        <v>0.28999999999999998</v>
      </c>
      <c r="F65" s="232">
        <v>11.295</v>
      </c>
      <c r="G65" s="232">
        <v>11.005000000000001</v>
      </c>
      <c r="H65" s="231" t="s">
        <v>184</v>
      </c>
      <c r="I65" s="463" t="s">
        <v>483</v>
      </c>
      <c r="J65" s="248"/>
      <c r="K65" s="248"/>
      <c r="L65" s="248"/>
      <c r="M65" s="248">
        <v>3.37</v>
      </c>
      <c r="N65" s="248"/>
    </row>
    <row r="66" spans="1:14" ht="15" customHeight="1" x14ac:dyDescent="0.3">
      <c r="A66" s="223">
        <v>86</v>
      </c>
      <c r="B66" s="226">
        <v>20145</v>
      </c>
      <c r="C66" s="227" t="s">
        <v>226</v>
      </c>
      <c r="D66" s="228">
        <v>1</v>
      </c>
      <c r="E66" s="229">
        <v>0</v>
      </c>
      <c r="F66" s="229">
        <v>2.8220000000000001</v>
      </c>
      <c r="G66" s="229">
        <v>2.8220000000000001</v>
      </c>
      <c r="H66" s="227" t="s">
        <v>212</v>
      </c>
      <c r="I66" s="461">
        <v>1183</v>
      </c>
      <c r="J66" s="247">
        <v>0.38</v>
      </c>
      <c r="K66" s="247"/>
      <c r="L66" s="247"/>
      <c r="M66" s="247"/>
      <c r="N66" s="247"/>
    </row>
    <row r="67" spans="1:14" ht="14" x14ac:dyDescent="0.3">
      <c r="A67" s="225">
        <v>87</v>
      </c>
      <c r="B67" s="226">
        <v>21</v>
      </c>
      <c r="C67" s="227" t="s">
        <v>175</v>
      </c>
      <c r="D67" s="228">
        <v>1</v>
      </c>
      <c r="E67" s="229">
        <v>28.946999999999999</v>
      </c>
      <c r="F67" s="229">
        <v>36</v>
      </c>
      <c r="G67" s="229">
        <v>7.0530000000000008</v>
      </c>
      <c r="H67" s="227" t="s">
        <v>198</v>
      </c>
      <c r="I67" s="461">
        <v>520</v>
      </c>
      <c r="J67" s="247"/>
      <c r="K67" s="247"/>
      <c r="L67" s="247">
        <v>2.4700000000000002</v>
      </c>
      <c r="M67" s="247"/>
      <c r="N67" s="247"/>
    </row>
    <row r="68" spans="1:14" ht="15" customHeight="1" x14ac:dyDescent="0.3">
      <c r="A68" s="225">
        <v>89</v>
      </c>
      <c r="B68" s="230">
        <v>65</v>
      </c>
      <c r="C68" s="231" t="s">
        <v>216</v>
      </c>
      <c r="D68" s="223">
        <v>1</v>
      </c>
      <c r="E68" s="232">
        <v>25.895</v>
      </c>
      <c r="F68" s="232">
        <v>35.006999999999998</v>
      </c>
      <c r="G68" s="232">
        <v>9.1119999999999983</v>
      </c>
      <c r="H68" s="231" t="s">
        <v>184</v>
      </c>
      <c r="I68" s="462">
        <v>592</v>
      </c>
      <c r="J68" s="247"/>
      <c r="K68" s="247"/>
      <c r="L68" s="247">
        <v>2.77</v>
      </c>
      <c r="M68" s="247"/>
      <c r="N68" s="247"/>
    </row>
    <row r="69" spans="1:14" ht="15" customHeight="1" x14ac:dyDescent="0.3">
      <c r="A69" s="223">
        <v>90</v>
      </c>
      <c r="B69" s="230">
        <v>62</v>
      </c>
      <c r="C69" s="231" t="s">
        <v>227</v>
      </c>
      <c r="D69" s="223">
        <v>1</v>
      </c>
      <c r="E69" s="232">
        <v>32.707000000000001</v>
      </c>
      <c r="F69" s="232">
        <v>41.655000000000001</v>
      </c>
      <c r="G69" s="232">
        <v>8.9480000000000004</v>
      </c>
      <c r="H69" s="231" t="s">
        <v>184</v>
      </c>
      <c r="I69" s="462">
        <v>631</v>
      </c>
      <c r="J69" s="248"/>
      <c r="K69" s="248"/>
      <c r="L69" s="248">
        <v>2.7</v>
      </c>
      <c r="M69" s="248"/>
      <c r="N69" s="248"/>
    </row>
    <row r="70" spans="1:14" ht="15" customHeight="1" x14ac:dyDescent="0.3">
      <c r="A70" s="225">
        <v>91</v>
      </c>
      <c r="B70" s="230">
        <v>65</v>
      </c>
      <c r="C70" s="231" t="s">
        <v>216</v>
      </c>
      <c r="D70" s="223">
        <v>1</v>
      </c>
      <c r="E70" s="232">
        <v>16.777000000000001</v>
      </c>
      <c r="F70" s="232">
        <v>25.895</v>
      </c>
      <c r="G70" s="232">
        <v>9.1179999999999986</v>
      </c>
      <c r="H70" s="231" t="s">
        <v>184</v>
      </c>
      <c r="I70" s="462">
        <v>623</v>
      </c>
      <c r="J70" s="247"/>
      <c r="K70" s="247"/>
      <c r="L70" s="247">
        <v>2.8</v>
      </c>
      <c r="M70" s="247"/>
      <c r="N70" s="247"/>
    </row>
    <row r="71" spans="1:14" ht="15" customHeight="1" x14ac:dyDescent="0.3">
      <c r="A71" s="223">
        <v>92</v>
      </c>
      <c r="B71" s="230">
        <v>62</v>
      </c>
      <c r="C71" s="231" t="s">
        <v>227</v>
      </c>
      <c r="D71" s="223">
        <v>1</v>
      </c>
      <c r="E71" s="232">
        <v>25.527999999999999</v>
      </c>
      <c r="F71" s="232">
        <v>32.707000000000001</v>
      </c>
      <c r="G71" s="232">
        <v>7.179000000000002</v>
      </c>
      <c r="H71" s="231" t="s">
        <v>184</v>
      </c>
      <c r="I71" s="462">
        <v>795</v>
      </c>
      <c r="J71" s="248"/>
      <c r="K71" s="248"/>
      <c r="L71" s="248">
        <v>2.58</v>
      </c>
      <c r="M71" s="248"/>
      <c r="N71" s="248"/>
    </row>
    <row r="72" spans="1:14" ht="15" customHeight="1" x14ac:dyDescent="0.3">
      <c r="A72" s="225">
        <v>93</v>
      </c>
      <c r="B72" s="226">
        <v>11205</v>
      </c>
      <c r="C72" s="227" t="s">
        <v>228</v>
      </c>
      <c r="D72" s="228">
        <v>1</v>
      </c>
      <c r="E72" s="229">
        <v>0.623</v>
      </c>
      <c r="F72" s="229">
        <v>2.1480000000000001</v>
      </c>
      <c r="G72" s="229">
        <v>1.5250000000000001</v>
      </c>
      <c r="H72" s="227" t="s">
        <v>168</v>
      </c>
      <c r="I72" s="461">
        <v>1335</v>
      </c>
      <c r="J72" s="247"/>
      <c r="K72" s="247">
        <v>0.53</v>
      </c>
      <c r="L72" s="247"/>
      <c r="M72" s="247"/>
      <c r="N72" s="247"/>
    </row>
    <row r="73" spans="1:14" ht="15" customHeight="1" x14ac:dyDescent="0.3">
      <c r="A73" s="225">
        <v>95</v>
      </c>
      <c r="B73" s="226">
        <v>11285</v>
      </c>
      <c r="C73" s="227" t="s">
        <v>229</v>
      </c>
      <c r="D73" s="228">
        <v>1</v>
      </c>
      <c r="E73" s="229">
        <v>0</v>
      </c>
      <c r="F73" s="229">
        <v>1</v>
      </c>
      <c r="G73" s="229">
        <v>1</v>
      </c>
      <c r="H73" s="227" t="s">
        <v>168</v>
      </c>
      <c r="I73" s="461">
        <v>1664</v>
      </c>
      <c r="J73" s="247"/>
      <c r="K73" s="247">
        <v>0.35</v>
      </c>
      <c r="L73" s="247">
        <v>0</v>
      </c>
      <c r="M73" s="247"/>
      <c r="N73" s="247"/>
    </row>
    <row r="74" spans="1:14" ht="15" customHeight="1" x14ac:dyDescent="0.3">
      <c r="A74" s="225">
        <v>97</v>
      </c>
      <c r="B74" s="230">
        <v>24116</v>
      </c>
      <c r="C74" s="231" t="s">
        <v>230</v>
      </c>
      <c r="D74" s="223">
        <v>1</v>
      </c>
      <c r="E74" s="232">
        <v>0</v>
      </c>
      <c r="F74" s="232">
        <v>6.0860000000000003</v>
      </c>
      <c r="G74" s="232">
        <v>6.0860000000000003</v>
      </c>
      <c r="H74" s="231" t="s">
        <v>178</v>
      </c>
      <c r="I74" s="463" t="s">
        <v>484</v>
      </c>
      <c r="J74" s="247"/>
      <c r="K74" s="247"/>
      <c r="L74" s="247">
        <v>0</v>
      </c>
      <c r="M74" s="247">
        <v>1.8480000000000001</v>
      </c>
      <c r="N74" s="247"/>
    </row>
    <row r="75" spans="1:14" ht="15" customHeight="1" x14ac:dyDescent="0.3">
      <c r="A75" s="223">
        <v>98</v>
      </c>
      <c r="B75" s="230">
        <v>92</v>
      </c>
      <c r="C75" s="231" t="s">
        <v>196</v>
      </c>
      <c r="D75" s="223">
        <v>1</v>
      </c>
      <c r="E75" s="232">
        <v>93.048000000000002</v>
      </c>
      <c r="F75" s="232">
        <v>101.268</v>
      </c>
      <c r="G75" s="232">
        <v>8.2199999999999989</v>
      </c>
      <c r="H75" s="231" t="s">
        <v>178</v>
      </c>
      <c r="I75" s="462">
        <v>1322</v>
      </c>
      <c r="J75" s="247"/>
      <c r="K75" s="247">
        <v>2.5</v>
      </c>
      <c r="L75" s="247">
        <v>0</v>
      </c>
      <c r="M75" s="247"/>
      <c r="N75" s="247"/>
    </row>
    <row r="76" spans="1:14" ht="15" customHeight="1" x14ac:dyDescent="0.3">
      <c r="A76" s="225">
        <v>99</v>
      </c>
      <c r="B76" s="230">
        <v>5</v>
      </c>
      <c r="C76" s="231" t="s">
        <v>231</v>
      </c>
      <c r="D76" s="223">
        <v>1</v>
      </c>
      <c r="E76" s="232">
        <v>16.12</v>
      </c>
      <c r="F76" s="232">
        <v>28.231000000000002</v>
      </c>
      <c r="G76" s="232">
        <v>12.111000000000001</v>
      </c>
      <c r="H76" s="231" t="s">
        <v>171</v>
      </c>
      <c r="I76" s="463" t="s">
        <v>485</v>
      </c>
      <c r="J76" s="247"/>
      <c r="K76" s="247">
        <f>4.66-3.66</f>
        <v>1</v>
      </c>
      <c r="L76" s="247">
        <v>3.66</v>
      </c>
      <c r="M76" s="247"/>
      <c r="N76" s="247"/>
    </row>
    <row r="77" spans="1:14" ht="15" customHeight="1" x14ac:dyDescent="0.3">
      <c r="A77" s="225">
        <v>101</v>
      </c>
      <c r="B77" s="226">
        <v>11162</v>
      </c>
      <c r="C77" s="227" t="s">
        <v>232</v>
      </c>
      <c r="D77" s="228">
        <v>1</v>
      </c>
      <c r="E77" s="229">
        <v>0</v>
      </c>
      <c r="F77" s="229">
        <v>2.8</v>
      </c>
      <c r="G77" s="229">
        <v>2.8</v>
      </c>
      <c r="H77" s="227" t="s">
        <v>168</v>
      </c>
      <c r="I77" s="459" t="s">
        <v>486</v>
      </c>
      <c r="J77" s="247"/>
      <c r="K77" s="247">
        <v>0.01</v>
      </c>
      <c r="L77" s="247">
        <v>0.98</v>
      </c>
      <c r="M77" s="247"/>
      <c r="N77" s="247"/>
    </row>
    <row r="78" spans="1:14" ht="15" customHeight="1" x14ac:dyDescent="0.3">
      <c r="A78" s="223">
        <v>102</v>
      </c>
      <c r="B78" s="230">
        <v>22130</v>
      </c>
      <c r="C78" s="231" t="s">
        <v>233</v>
      </c>
      <c r="D78" s="223">
        <v>1</v>
      </c>
      <c r="E78" s="232">
        <v>0.90400000000000003</v>
      </c>
      <c r="F78" s="232">
        <v>3.2839999999999998</v>
      </c>
      <c r="G78" s="232">
        <v>2.38</v>
      </c>
      <c r="H78" s="231" t="s">
        <v>166</v>
      </c>
      <c r="I78" s="463" t="s">
        <v>487</v>
      </c>
      <c r="J78" s="247"/>
      <c r="K78" s="247"/>
      <c r="L78" s="247"/>
      <c r="M78" s="247">
        <v>0.8</v>
      </c>
      <c r="N78" s="247"/>
    </row>
    <row r="79" spans="1:14" ht="15" customHeight="1" x14ac:dyDescent="0.3">
      <c r="A79" s="225">
        <v>103</v>
      </c>
      <c r="B79" s="230">
        <v>46</v>
      </c>
      <c r="C79" s="231" t="s">
        <v>234</v>
      </c>
      <c r="D79" s="223">
        <v>1</v>
      </c>
      <c r="E79" s="232">
        <v>26.853999999999999</v>
      </c>
      <c r="F79" s="232">
        <v>33.420999999999999</v>
      </c>
      <c r="G79" s="232">
        <v>6.5670000000000002</v>
      </c>
      <c r="H79" s="231" t="s">
        <v>194</v>
      </c>
      <c r="I79" s="462">
        <v>893</v>
      </c>
      <c r="J79" s="248"/>
      <c r="K79" s="248"/>
      <c r="L79" s="248"/>
      <c r="M79" s="248">
        <v>1.0489999999999999</v>
      </c>
      <c r="N79" s="248"/>
    </row>
    <row r="80" spans="1:14" ht="15" customHeight="1" x14ac:dyDescent="0.3">
      <c r="A80" s="223">
        <v>104</v>
      </c>
      <c r="B80" s="226">
        <v>88</v>
      </c>
      <c r="C80" s="227" t="s">
        <v>197</v>
      </c>
      <c r="D80" s="228">
        <v>1</v>
      </c>
      <c r="E80" s="229">
        <v>10.256</v>
      </c>
      <c r="F80" s="229">
        <v>15.6</v>
      </c>
      <c r="G80" s="229">
        <v>5.3439999999999994</v>
      </c>
      <c r="H80" s="227" t="s">
        <v>198</v>
      </c>
      <c r="I80" s="459" t="s">
        <v>488</v>
      </c>
      <c r="J80" s="247"/>
      <c r="K80" s="247"/>
      <c r="L80" s="247">
        <v>1.89</v>
      </c>
      <c r="M80" s="247"/>
      <c r="N80" s="247"/>
    </row>
    <row r="81" spans="1:14" ht="15" customHeight="1" x14ac:dyDescent="0.3">
      <c r="A81" s="225">
        <v>105</v>
      </c>
      <c r="B81" s="226">
        <v>27</v>
      </c>
      <c r="C81" s="227" t="s">
        <v>235</v>
      </c>
      <c r="D81" s="228">
        <v>1</v>
      </c>
      <c r="E81" s="229">
        <v>26.495000000000001</v>
      </c>
      <c r="F81" s="229">
        <v>32.868000000000002</v>
      </c>
      <c r="G81" s="229">
        <v>6.3730000000000011</v>
      </c>
      <c r="H81" s="227" t="s">
        <v>212</v>
      </c>
      <c r="I81" s="461">
        <v>577</v>
      </c>
      <c r="J81" s="247">
        <v>1.9524999999999999</v>
      </c>
      <c r="K81" s="247">
        <v>0.43</v>
      </c>
      <c r="L81" s="247"/>
      <c r="M81" s="247"/>
      <c r="N81" s="247"/>
    </row>
    <row r="82" spans="1:14" ht="15" customHeight="1" x14ac:dyDescent="0.3">
      <c r="A82" s="225">
        <v>107</v>
      </c>
      <c r="B82" s="230">
        <v>69</v>
      </c>
      <c r="C82" s="231" t="s">
        <v>236</v>
      </c>
      <c r="D82" s="223">
        <v>1</v>
      </c>
      <c r="E82" s="232">
        <v>9.2420000000000009</v>
      </c>
      <c r="F82" s="232">
        <v>21.808</v>
      </c>
      <c r="G82" s="232">
        <v>12.565999999999999</v>
      </c>
      <c r="H82" s="231" t="s">
        <v>192</v>
      </c>
      <c r="I82" s="462">
        <v>1528</v>
      </c>
      <c r="J82" s="247"/>
      <c r="K82" s="247"/>
      <c r="L82" s="247"/>
      <c r="M82" s="247">
        <v>4.8</v>
      </c>
      <c r="N82" s="247"/>
    </row>
    <row r="83" spans="1:14" ht="15" customHeight="1" x14ac:dyDescent="0.3">
      <c r="A83" s="223">
        <v>108</v>
      </c>
      <c r="B83" s="230">
        <v>17</v>
      </c>
      <c r="C83" s="231" t="s">
        <v>209</v>
      </c>
      <c r="D83" s="223">
        <v>1</v>
      </c>
      <c r="E83" s="232">
        <v>34.793999999999997</v>
      </c>
      <c r="F83" s="232">
        <v>44.694000000000003</v>
      </c>
      <c r="G83" s="232">
        <v>9.9000000000000057</v>
      </c>
      <c r="H83" s="231" t="s">
        <v>170</v>
      </c>
      <c r="I83" s="463" t="s">
        <v>489</v>
      </c>
      <c r="J83" s="248"/>
      <c r="K83" s="248"/>
      <c r="L83" s="248"/>
      <c r="M83" s="248"/>
      <c r="N83" s="248">
        <v>3.5</v>
      </c>
    </row>
    <row r="84" spans="1:14" ht="15" customHeight="1" x14ac:dyDescent="0.3">
      <c r="A84" s="225">
        <v>109</v>
      </c>
      <c r="B84" s="230">
        <v>61</v>
      </c>
      <c r="C84" s="231" t="s">
        <v>208</v>
      </c>
      <c r="D84" s="223">
        <v>1</v>
      </c>
      <c r="E84" s="232">
        <v>30.478000000000002</v>
      </c>
      <c r="F84" s="232">
        <v>37.058999999999997</v>
      </c>
      <c r="G84" s="232">
        <v>6.580999999999996</v>
      </c>
      <c r="H84" s="231" t="s">
        <v>166</v>
      </c>
      <c r="I84" s="462">
        <v>3224</v>
      </c>
      <c r="J84" s="248"/>
      <c r="K84" s="248"/>
      <c r="L84" s="248"/>
      <c r="M84" s="248"/>
      <c r="N84" s="248">
        <v>2.2999999999999998</v>
      </c>
    </row>
    <row r="85" spans="1:14" ht="15" customHeight="1" x14ac:dyDescent="0.3">
      <c r="A85" s="223">
        <v>110</v>
      </c>
      <c r="B85" s="226">
        <v>13106</v>
      </c>
      <c r="C85" s="227" t="s">
        <v>237</v>
      </c>
      <c r="D85" s="228">
        <v>1</v>
      </c>
      <c r="E85" s="229">
        <v>0</v>
      </c>
      <c r="F85" s="229">
        <v>2.3719999999999999</v>
      </c>
      <c r="G85" s="229">
        <v>2.3719999999999999</v>
      </c>
      <c r="H85" s="227" t="s">
        <v>164</v>
      </c>
      <c r="I85" s="459" t="s">
        <v>490</v>
      </c>
      <c r="J85" s="247"/>
      <c r="K85" s="247"/>
      <c r="L85" s="247">
        <v>0.8</v>
      </c>
      <c r="M85" s="247"/>
      <c r="N85" s="247"/>
    </row>
    <row r="86" spans="1:14" ht="15" customHeight="1" x14ac:dyDescent="0.3">
      <c r="A86" s="225">
        <v>111</v>
      </c>
      <c r="B86" s="233">
        <v>20142</v>
      </c>
      <c r="C86" s="234" t="s">
        <v>238</v>
      </c>
      <c r="D86" s="235">
        <v>1</v>
      </c>
      <c r="E86" s="238">
        <v>0</v>
      </c>
      <c r="F86" s="239">
        <v>0.70199999999999996</v>
      </c>
      <c r="G86" s="229">
        <v>0.70199999999999996</v>
      </c>
      <c r="H86" s="227" t="s">
        <v>212</v>
      </c>
      <c r="I86" s="464">
        <v>912</v>
      </c>
      <c r="J86" s="248">
        <v>0.15</v>
      </c>
      <c r="K86" s="248"/>
      <c r="L86" s="248"/>
      <c r="M86" s="248"/>
      <c r="N86" s="248"/>
    </row>
    <row r="87" spans="1:14" ht="15" customHeight="1" x14ac:dyDescent="0.3">
      <c r="A87" s="223">
        <v>112</v>
      </c>
      <c r="B87" s="226">
        <v>29</v>
      </c>
      <c r="C87" s="227" t="s">
        <v>239</v>
      </c>
      <c r="D87" s="228">
        <v>1</v>
      </c>
      <c r="E87" s="229">
        <v>2.5830000000000002</v>
      </c>
      <c r="F87" s="229">
        <v>10.356</v>
      </c>
      <c r="G87" s="229">
        <v>7.7729999999999997</v>
      </c>
      <c r="H87" s="227" t="s">
        <v>212</v>
      </c>
      <c r="I87" s="461">
        <v>1070</v>
      </c>
      <c r="J87" s="247"/>
      <c r="K87" s="247"/>
      <c r="L87" s="247">
        <v>1.4450000000000001</v>
      </c>
      <c r="M87" s="247">
        <v>1.2649999999999999</v>
      </c>
      <c r="N87" s="247"/>
    </row>
    <row r="88" spans="1:14" ht="15" customHeight="1" x14ac:dyDescent="0.3">
      <c r="A88" s="225">
        <v>113</v>
      </c>
      <c r="B88" s="226">
        <v>11161</v>
      </c>
      <c r="C88" s="227" t="s">
        <v>240</v>
      </c>
      <c r="D88" s="228">
        <v>1</v>
      </c>
      <c r="E88" s="229">
        <v>3.6019999999999999</v>
      </c>
      <c r="F88" s="229">
        <v>4.7210000000000001</v>
      </c>
      <c r="G88" s="229">
        <v>1.1190000000000002</v>
      </c>
      <c r="H88" s="227" t="s">
        <v>168</v>
      </c>
      <c r="I88" s="459" t="s">
        <v>491</v>
      </c>
      <c r="J88" s="247"/>
      <c r="K88" s="247"/>
      <c r="L88" s="247">
        <v>0.4</v>
      </c>
      <c r="M88" s="247"/>
      <c r="N88" s="247"/>
    </row>
    <row r="89" spans="1:14" ht="15" customHeight="1" x14ac:dyDescent="0.3">
      <c r="A89" s="223">
        <v>114</v>
      </c>
      <c r="B89" s="230">
        <v>10</v>
      </c>
      <c r="C89" s="231" t="s">
        <v>225</v>
      </c>
      <c r="D89" s="223">
        <v>1</v>
      </c>
      <c r="E89" s="232">
        <v>129.208</v>
      </c>
      <c r="F89" s="240">
        <v>141.4</v>
      </c>
      <c r="G89" s="232">
        <v>12.192000000000007</v>
      </c>
      <c r="H89" s="231" t="s">
        <v>241</v>
      </c>
      <c r="I89" s="462">
        <v>2689</v>
      </c>
      <c r="J89" s="247">
        <v>3.0670000000000002</v>
      </c>
      <c r="K89" s="247">
        <v>1.43</v>
      </c>
      <c r="L89" s="247">
        <v>0</v>
      </c>
      <c r="M89" s="247"/>
      <c r="N89" s="247"/>
    </row>
    <row r="90" spans="1:14" ht="15" customHeight="1" x14ac:dyDescent="0.3">
      <c r="A90" s="225">
        <v>115</v>
      </c>
      <c r="B90" s="226">
        <v>88</v>
      </c>
      <c r="C90" s="227" t="s">
        <v>197</v>
      </c>
      <c r="D90" s="228">
        <v>1</v>
      </c>
      <c r="E90" s="229">
        <v>15.6</v>
      </c>
      <c r="F90" s="229">
        <v>21.303999999999998</v>
      </c>
      <c r="G90" s="229">
        <v>5.7039999999999988</v>
      </c>
      <c r="H90" s="227" t="s">
        <v>198</v>
      </c>
      <c r="I90" s="461">
        <v>553</v>
      </c>
      <c r="J90" s="247"/>
      <c r="K90" s="247"/>
      <c r="L90" s="247"/>
      <c r="M90" s="247">
        <v>2</v>
      </c>
      <c r="N90" s="247"/>
    </row>
    <row r="91" spans="1:14" ht="15" customHeight="1" x14ac:dyDescent="0.3">
      <c r="A91" s="223">
        <v>116</v>
      </c>
      <c r="B91" s="226">
        <v>39</v>
      </c>
      <c r="C91" s="227" t="s">
        <v>242</v>
      </c>
      <c r="D91" s="228">
        <v>1</v>
      </c>
      <c r="E91" s="229">
        <v>91.302999999999997</v>
      </c>
      <c r="F91" s="229">
        <v>92.216999999999999</v>
      </c>
      <c r="G91" s="229">
        <v>0.91400000000000148</v>
      </c>
      <c r="H91" s="227" t="s">
        <v>188</v>
      </c>
      <c r="I91" s="461">
        <v>888</v>
      </c>
      <c r="J91" s="247"/>
      <c r="K91" s="247"/>
      <c r="L91" s="247"/>
      <c r="M91" s="247">
        <v>0.35</v>
      </c>
      <c r="N91" s="247"/>
    </row>
    <row r="92" spans="1:14" ht="15" customHeight="1" x14ac:dyDescent="0.3">
      <c r="A92" s="225">
        <v>117</v>
      </c>
      <c r="B92" s="226">
        <v>11113</v>
      </c>
      <c r="C92" s="227" t="s">
        <v>243</v>
      </c>
      <c r="D92" s="228">
        <v>1</v>
      </c>
      <c r="E92" s="229">
        <v>3.234</v>
      </c>
      <c r="F92" s="229">
        <v>4.8929999999999998</v>
      </c>
      <c r="G92" s="229">
        <v>1.6589999999999998</v>
      </c>
      <c r="H92" s="227" t="s">
        <v>168</v>
      </c>
      <c r="I92" s="459" t="s">
        <v>492</v>
      </c>
      <c r="J92" s="247"/>
      <c r="K92" s="247"/>
      <c r="L92" s="247"/>
      <c r="M92" s="247">
        <v>0.5</v>
      </c>
      <c r="N92" s="247"/>
    </row>
    <row r="93" spans="1:14" ht="15" customHeight="1" x14ac:dyDescent="0.3">
      <c r="A93" s="223">
        <v>118</v>
      </c>
      <c r="B93" s="226">
        <v>88</v>
      </c>
      <c r="C93" s="227" t="s">
        <v>197</v>
      </c>
      <c r="D93" s="228">
        <v>1</v>
      </c>
      <c r="E93" s="229">
        <v>21.303999999999998</v>
      </c>
      <c r="F93" s="229">
        <v>25.484000000000002</v>
      </c>
      <c r="G93" s="229">
        <v>4.1800000000000033</v>
      </c>
      <c r="H93" s="227" t="s">
        <v>198</v>
      </c>
      <c r="I93" s="461">
        <v>553</v>
      </c>
      <c r="J93" s="247"/>
      <c r="K93" s="247"/>
      <c r="L93" s="247"/>
      <c r="M93" s="247">
        <v>1.5</v>
      </c>
      <c r="N93" s="247"/>
    </row>
    <row r="94" spans="1:14" ht="15" customHeight="1" x14ac:dyDescent="0.3">
      <c r="A94" s="225">
        <v>119</v>
      </c>
      <c r="B94" s="230">
        <v>51</v>
      </c>
      <c r="C94" s="231" t="s">
        <v>244</v>
      </c>
      <c r="D94" s="223">
        <v>1</v>
      </c>
      <c r="E94" s="232">
        <v>35.808999999999997</v>
      </c>
      <c r="F94" s="232">
        <v>43.018999999999998</v>
      </c>
      <c r="G94" s="232">
        <v>7.2100000000000009</v>
      </c>
      <c r="H94" s="231" t="s">
        <v>176</v>
      </c>
      <c r="I94" s="462">
        <v>905</v>
      </c>
      <c r="J94" s="248"/>
      <c r="K94" s="248"/>
      <c r="L94" s="248"/>
      <c r="M94" s="248"/>
      <c r="N94" s="248">
        <v>2.5</v>
      </c>
    </row>
    <row r="95" spans="1:14" ht="15" customHeight="1" x14ac:dyDescent="0.3">
      <c r="A95" s="223">
        <v>120</v>
      </c>
      <c r="B95" s="230">
        <v>69</v>
      </c>
      <c r="C95" s="231" t="s">
        <v>236</v>
      </c>
      <c r="D95" s="223">
        <v>1</v>
      </c>
      <c r="E95" s="232">
        <v>57.286000000000001</v>
      </c>
      <c r="F95" s="232">
        <v>65.332999999999998</v>
      </c>
      <c r="G95" s="232">
        <v>8.046999999999997</v>
      </c>
      <c r="H95" s="231" t="s">
        <v>192</v>
      </c>
      <c r="I95" s="462">
        <v>807</v>
      </c>
      <c r="J95" s="248"/>
      <c r="K95" s="248"/>
      <c r="L95" s="248"/>
      <c r="M95" s="248"/>
      <c r="N95" s="248">
        <v>2.8</v>
      </c>
    </row>
    <row r="96" spans="1:14" ht="15" customHeight="1" x14ac:dyDescent="0.3">
      <c r="A96" s="223">
        <v>122</v>
      </c>
      <c r="B96" s="226">
        <v>11260</v>
      </c>
      <c r="C96" s="227" t="s">
        <v>245</v>
      </c>
      <c r="D96" s="228">
        <v>1</v>
      </c>
      <c r="E96" s="229">
        <v>20.151</v>
      </c>
      <c r="F96" s="229">
        <v>24.315000000000001</v>
      </c>
      <c r="G96" s="229">
        <v>4.1640000000000015</v>
      </c>
      <c r="H96" s="227" t="s">
        <v>168</v>
      </c>
      <c r="I96" s="459" t="s">
        <v>493</v>
      </c>
      <c r="J96" s="247"/>
      <c r="K96" s="247">
        <v>1.46</v>
      </c>
      <c r="L96" s="247">
        <v>0</v>
      </c>
      <c r="M96" s="247"/>
      <c r="N96" s="247"/>
    </row>
    <row r="97" spans="1:14" ht="15" customHeight="1" x14ac:dyDescent="0.3">
      <c r="A97" s="225">
        <v>123</v>
      </c>
      <c r="B97" s="226">
        <v>29</v>
      </c>
      <c r="C97" s="227" t="s">
        <v>239</v>
      </c>
      <c r="D97" s="228">
        <v>1</v>
      </c>
      <c r="E97" s="229">
        <v>11.574</v>
      </c>
      <c r="F97" s="229">
        <v>14.356999999999999</v>
      </c>
      <c r="G97" s="229">
        <v>2.7829999999999995</v>
      </c>
      <c r="H97" s="227" t="s">
        <v>212</v>
      </c>
      <c r="I97" s="461">
        <v>1070</v>
      </c>
      <c r="J97" s="247"/>
      <c r="K97" s="247"/>
      <c r="L97" s="247"/>
      <c r="M97" s="247">
        <v>1</v>
      </c>
      <c r="N97" s="247"/>
    </row>
    <row r="98" spans="1:14" ht="15" customHeight="1" x14ac:dyDescent="0.3">
      <c r="A98" s="225">
        <v>125</v>
      </c>
      <c r="B98" s="230">
        <v>23129</v>
      </c>
      <c r="C98" s="231" t="s">
        <v>246</v>
      </c>
      <c r="D98" s="223">
        <v>1</v>
      </c>
      <c r="E98" s="232">
        <v>12.9</v>
      </c>
      <c r="F98" s="232">
        <v>16.436</v>
      </c>
      <c r="G98" s="232">
        <v>3.5359999999999996</v>
      </c>
      <c r="H98" s="231" t="s">
        <v>192</v>
      </c>
      <c r="I98" s="463" t="s">
        <v>494</v>
      </c>
      <c r="J98" s="247"/>
      <c r="K98" s="247"/>
      <c r="L98" s="247"/>
      <c r="M98" s="247"/>
      <c r="N98" s="247">
        <v>1.2</v>
      </c>
    </row>
    <row r="99" spans="1:14" ht="15" customHeight="1" x14ac:dyDescent="0.3">
      <c r="A99" s="223">
        <v>126</v>
      </c>
      <c r="B99" s="230">
        <v>55</v>
      </c>
      <c r="C99" s="231" t="s">
        <v>247</v>
      </c>
      <c r="D99" s="223">
        <v>1</v>
      </c>
      <c r="E99" s="232">
        <v>0</v>
      </c>
      <c r="F99" s="232">
        <v>4.4249999999999998</v>
      </c>
      <c r="G99" s="232">
        <v>4.4249999999999998</v>
      </c>
      <c r="H99" s="231" t="s">
        <v>178</v>
      </c>
      <c r="I99" s="463" t="s">
        <v>495</v>
      </c>
      <c r="J99" s="247"/>
      <c r="K99" s="247">
        <v>1.36</v>
      </c>
      <c r="L99" s="247"/>
      <c r="M99" s="247"/>
      <c r="N99" s="247"/>
    </row>
    <row r="100" spans="1:14" ht="15" customHeight="1" x14ac:dyDescent="0.3">
      <c r="A100" s="225">
        <v>127</v>
      </c>
      <c r="B100" s="230">
        <v>22140</v>
      </c>
      <c r="C100" s="231" t="s">
        <v>248</v>
      </c>
      <c r="D100" s="223">
        <v>1</v>
      </c>
      <c r="E100" s="232">
        <v>0</v>
      </c>
      <c r="F100" s="232">
        <v>6.798</v>
      </c>
      <c r="G100" s="232">
        <v>6.798</v>
      </c>
      <c r="H100" s="231" t="s">
        <v>166</v>
      </c>
      <c r="I100" s="463" t="s">
        <v>496</v>
      </c>
      <c r="J100" s="248"/>
      <c r="K100" s="248"/>
      <c r="L100" s="248"/>
      <c r="M100" s="248"/>
      <c r="N100" s="248">
        <v>2.4</v>
      </c>
    </row>
    <row r="101" spans="1:14" ht="15" customHeight="1" x14ac:dyDescent="0.3">
      <c r="A101" s="223">
        <v>128</v>
      </c>
      <c r="B101" s="230">
        <v>62</v>
      </c>
      <c r="C101" s="231" t="s">
        <v>227</v>
      </c>
      <c r="D101" s="223">
        <v>1</v>
      </c>
      <c r="E101" s="232">
        <v>0</v>
      </c>
      <c r="F101" s="232">
        <v>5.0999999999999996</v>
      </c>
      <c r="G101" s="232">
        <v>5.0999999999999996</v>
      </c>
      <c r="H101" s="231" t="s">
        <v>184</v>
      </c>
      <c r="I101" s="462">
        <v>758</v>
      </c>
      <c r="J101" s="248"/>
      <c r="K101" s="248"/>
      <c r="L101" s="248"/>
      <c r="M101" s="248"/>
      <c r="N101" s="248">
        <v>1.8</v>
      </c>
    </row>
    <row r="102" spans="1:14" ht="15" customHeight="1" x14ac:dyDescent="0.3">
      <c r="A102" s="225">
        <v>129</v>
      </c>
      <c r="B102" s="230">
        <v>52</v>
      </c>
      <c r="C102" s="231" t="s">
        <v>249</v>
      </c>
      <c r="D102" s="223">
        <v>1</v>
      </c>
      <c r="E102" s="232">
        <v>0.1</v>
      </c>
      <c r="F102" s="232">
        <v>11.59</v>
      </c>
      <c r="G102" s="232">
        <v>11.49</v>
      </c>
      <c r="H102" s="231" t="s">
        <v>178</v>
      </c>
      <c r="I102" s="463" t="s">
        <v>497</v>
      </c>
      <c r="J102" s="248">
        <v>2.41</v>
      </c>
      <c r="K102" s="248">
        <v>1.17</v>
      </c>
      <c r="L102" s="248">
        <v>0.21</v>
      </c>
      <c r="M102" s="248"/>
      <c r="N102" s="248"/>
    </row>
    <row r="103" spans="1:14" ht="15" customHeight="1" x14ac:dyDescent="0.3">
      <c r="A103" s="223">
        <v>130</v>
      </c>
      <c r="B103" s="226">
        <v>13105</v>
      </c>
      <c r="C103" s="227" t="s">
        <v>250</v>
      </c>
      <c r="D103" s="228">
        <v>1</v>
      </c>
      <c r="E103" s="229">
        <v>0.13</v>
      </c>
      <c r="F103" s="229">
        <v>5.3979999999999997</v>
      </c>
      <c r="G103" s="229">
        <v>5.2679999999999998</v>
      </c>
      <c r="H103" s="227" t="s">
        <v>164</v>
      </c>
      <c r="I103" s="459" t="s">
        <v>498</v>
      </c>
      <c r="J103" s="247"/>
      <c r="K103" s="247"/>
      <c r="L103" s="247"/>
      <c r="M103" s="247">
        <v>1.8</v>
      </c>
      <c r="N103" s="247"/>
    </row>
    <row r="104" spans="1:14" ht="15" customHeight="1" x14ac:dyDescent="0.3">
      <c r="A104" s="225">
        <v>131</v>
      </c>
      <c r="B104" s="230">
        <v>69</v>
      </c>
      <c r="C104" s="231" t="s">
        <v>236</v>
      </c>
      <c r="D104" s="223">
        <v>1</v>
      </c>
      <c r="E104" s="232">
        <v>47.822000000000003</v>
      </c>
      <c r="F104" s="232">
        <v>56.863999999999997</v>
      </c>
      <c r="G104" s="232">
        <v>9.0419999999999945</v>
      </c>
      <c r="H104" s="231" t="s">
        <v>192</v>
      </c>
      <c r="I104" s="462">
        <v>843</v>
      </c>
      <c r="J104" s="247"/>
      <c r="K104" s="247"/>
      <c r="L104" s="247"/>
      <c r="M104" s="247"/>
      <c r="N104" s="247">
        <v>3.1</v>
      </c>
    </row>
    <row r="105" spans="1:14" ht="15" customHeight="1" x14ac:dyDescent="0.3">
      <c r="A105" s="223">
        <v>132</v>
      </c>
      <c r="B105" s="226">
        <v>93</v>
      </c>
      <c r="C105" s="227" t="s">
        <v>182</v>
      </c>
      <c r="D105" s="228">
        <v>1</v>
      </c>
      <c r="E105" s="229">
        <v>7.9939999999999998</v>
      </c>
      <c r="F105" s="229">
        <v>8.9909999999999997</v>
      </c>
      <c r="G105" s="229">
        <v>0.99699999999999989</v>
      </c>
      <c r="H105" s="227" t="s">
        <v>164</v>
      </c>
      <c r="I105" s="461">
        <v>7352</v>
      </c>
      <c r="J105" s="247"/>
      <c r="K105" s="247"/>
      <c r="L105" s="247"/>
      <c r="M105" s="247">
        <v>0.4</v>
      </c>
      <c r="N105" s="247"/>
    </row>
    <row r="106" spans="1:14" ht="15" customHeight="1" x14ac:dyDescent="0.3">
      <c r="A106" s="223">
        <v>134</v>
      </c>
      <c r="B106" s="226">
        <v>11106</v>
      </c>
      <c r="C106" s="227" t="s">
        <v>251</v>
      </c>
      <c r="D106" s="228">
        <v>1</v>
      </c>
      <c r="E106" s="229">
        <v>0</v>
      </c>
      <c r="F106" s="229">
        <v>1.9350000000000001</v>
      </c>
      <c r="G106" s="229">
        <v>1.9350000000000001</v>
      </c>
      <c r="H106" s="227" t="s">
        <v>168</v>
      </c>
      <c r="I106" s="459" t="s">
        <v>499</v>
      </c>
      <c r="J106" s="247"/>
      <c r="K106" s="247">
        <v>0.68</v>
      </c>
      <c r="L106" s="247">
        <v>0</v>
      </c>
      <c r="M106" s="247"/>
      <c r="N106" s="247"/>
    </row>
    <row r="107" spans="1:14" ht="15" customHeight="1" x14ac:dyDescent="0.3">
      <c r="A107" s="225">
        <v>137</v>
      </c>
      <c r="B107" s="230">
        <v>39</v>
      </c>
      <c r="C107" s="231" t="s">
        <v>242</v>
      </c>
      <c r="D107" s="223">
        <v>1</v>
      </c>
      <c r="E107" s="232">
        <v>57.000999999999998</v>
      </c>
      <c r="F107" s="232">
        <v>66.757000000000005</v>
      </c>
      <c r="G107" s="232">
        <v>9.7560000000000073</v>
      </c>
      <c r="H107" s="237" t="s">
        <v>279</v>
      </c>
      <c r="I107" s="462">
        <v>1856</v>
      </c>
      <c r="J107" s="247"/>
      <c r="K107" s="247"/>
      <c r="L107" s="247"/>
      <c r="M107" s="247"/>
      <c r="N107" s="247">
        <v>3.5</v>
      </c>
    </row>
    <row r="108" spans="1:14" ht="15" customHeight="1" x14ac:dyDescent="0.3">
      <c r="A108" s="223">
        <v>138</v>
      </c>
      <c r="B108" s="226">
        <v>11412</v>
      </c>
      <c r="C108" s="227" t="s">
        <v>252</v>
      </c>
      <c r="D108" s="228">
        <v>1</v>
      </c>
      <c r="E108" s="229">
        <v>0</v>
      </c>
      <c r="F108" s="229">
        <v>5.1559999999999997</v>
      </c>
      <c r="G108" s="229">
        <v>5.1559999999999997</v>
      </c>
      <c r="H108" s="227" t="s">
        <v>168</v>
      </c>
      <c r="I108" s="459" t="s">
        <v>500</v>
      </c>
      <c r="J108" s="247"/>
      <c r="K108" s="247"/>
      <c r="L108" s="247"/>
      <c r="M108" s="247">
        <v>1.8</v>
      </c>
      <c r="N108" s="247"/>
    </row>
    <row r="109" spans="1:14" ht="15" customHeight="1" x14ac:dyDescent="0.3">
      <c r="A109" s="225">
        <v>141</v>
      </c>
      <c r="B109" s="226">
        <v>11315</v>
      </c>
      <c r="C109" s="227" t="s">
        <v>253</v>
      </c>
      <c r="D109" s="228">
        <v>1</v>
      </c>
      <c r="E109" s="229">
        <v>5.5E-2</v>
      </c>
      <c r="F109" s="229">
        <v>5.9</v>
      </c>
      <c r="G109" s="229">
        <v>5.8450000000000006</v>
      </c>
      <c r="H109" s="227" t="s">
        <v>168</v>
      </c>
      <c r="I109" s="461">
        <v>701</v>
      </c>
      <c r="J109" s="247"/>
      <c r="K109" s="247"/>
      <c r="L109" s="247"/>
      <c r="M109" s="247">
        <v>2.1</v>
      </c>
      <c r="N109" s="247"/>
    </row>
    <row r="110" spans="1:14" ht="15" customHeight="1" x14ac:dyDescent="0.3">
      <c r="A110" s="223">
        <v>142</v>
      </c>
      <c r="B110" s="230">
        <v>52</v>
      </c>
      <c r="C110" s="231" t="s">
        <v>249</v>
      </c>
      <c r="D110" s="223">
        <v>1</v>
      </c>
      <c r="E110" s="232">
        <v>28.634</v>
      </c>
      <c r="F110" s="232">
        <v>41.42</v>
      </c>
      <c r="G110" s="232">
        <v>12.786000000000001</v>
      </c>
      <c r="H110" s="231" t="s">
        <v>178</v>
      </c>
      <c r="I110" s="463" t="s">
        <v>501</v>
      </c>
      <c r="J110" s="247"/>
      <c r="K110" s="247"/>
      <c r="L110" s="247"/>
      <c r="M110" s="247"/>
      <c r="N110" s="247">
        <v>4.5999999999999996</v>
      </c>
    </row>
    <row r="111" spans="1:14" ht="15" customHeight="1" x14ac:dyDescent="0.3">
      <c r="A111" s="225">
        <v>145</v>
      </c>
      <c r="B111" s="226">
        <v>14</v>
      </c>
      <c r="C111" s="227" t="s">
        <v>254</v>
      </c>
      <c r="D111" s="228">
        <v>1</v>
      </c>
      <c r="E111" s="229">
        <v>13.194000000000001</v>
      </c>
      <c r="F111" s="229">
        <v>19.05</v>
      </c>
      <c r="G111" s="229">
        <v>5.8559999999999999</v>
      </c>
      <c r="H111" s="227" t="s">
        <v>212</v>
      </c>
      <c r="I111" s="461">
        <v>703</v>
      </c>
      <c r="J111" s="248"/>
      <c r="K111" s="248"/>
      <c r="L111" s="248"/>
      <c r="M111" s="248"/>
      <c r="N111" s="248">
        <v>2.1</v>
      </c>
    </row>
    <row r="112" spans="1:14" ht="15" customHeight="1" x14ac:dyDescent="0.3">
      <c r="A112" s="223">
        <v>146</v>
      </c>
      <c r="B112" s="226">
        <v>25</v>
      </c>
      <c r="C112" s="227" t="s">
        <v>255</v>
      </c>
      <c r="D112" s="228">
        <v>1</v>
      </c>
      <c r="E112" s="229">
        <v>21.2</v>
      </c>
      <c r="F112" s="229">
        <v>25.14</v>
      </c>
      <c r="G112" s="229">
        <v>3.9400000000000013</v>
      </c>
      <c r="H112" s="227" t="s">
        <v>188</v>
      </c>
      <c r="I112" s="459" t="s">
        <v>502</v>
      </c>
      <c r="J112" s="247"/>
      <c r="K112" s="247"/>
      <c r="L112" s="247"/>
      <c r="M112" s="247"/>
      <c r="N112" s="247">
        <v>1.4</v>
      </c>
    </row>
    <row r="113" spans="1:14" ht="15" customHeight="1" x14ac:dyDescent="0.3">
      <c r="A113" s="223">
        <v>148</v>
      </c>
      <c r="B113" s="226">
        <v>11220</v>
      </c>
      <c r="C113" s="227" t="s">
        <v>256</v>
      </c>
      <c r="D113" s="228">
        <v>1</v>
      </c>
      <c r="E113" s="229">
        <v>9.7089999999999996</v>
      </c>
      <c r="F113" s="229">
        <v>13.606999999999999</v>
      </c>
      <c r="G113" s="229">
        <v>3.8979999999999997</v>
      </c>
      <c r="H113" s="227" t="s">
        <v>212</v>
      </c>
      <c r="I113" s="461">
        <v>1053</v>
      </c>
      <c r="J113" s="247"/>
      <c r="K113" s="247"/>
      <c r="L113" s="247"/>
      <c r="M113" s="247"/>
      <c r="N113" s="247">
        <v>1.4</v>
      </c>
    </row>
    <row r="114" spans="1:14" ht="15" customHeight="1" x14ac:dyDescent="0.3">
      <c r="A114" s="225">
        <v>149</v>
      </c>
      <c r="B114" s="230">
        <v>77</v>
      </c>
      <c r="C114" s="231" t="s">
        <v>257</v>
      </c>
      <c r="D114" s="223">
        <v>1</v>
      </c>
      <c r="E114" s="232">
        <v>36.238999999999997</v>
      </c>
      <c r="F114" s="232">
        <v>47.442</v>
      </c>
      <c r="G114" s="232">
        <v>11.203000000000003</v>
      </c>
      <c r="H114" s="231" t="s">
        <v>241</v>
      </c>
      <c r="I114" s="462">
        <v>616</v>
      </c>
      <c r="J114" s="247"/>
      <c r="K114" s="247"/>
      <c r="L114" s="247"/>
      <c r="M114" s="247"/>
      <c r="N114" s="247">
        <v>2.4079999999999999</v>
      </c>
    </row>
    <row r="115" spans="1:14" ht="15" customHeight="1" x14ac:dyDescent="0.3">
      <c r="A115" s="223">
        <v>150</v>
      </c>
      <c r="B115" s="226">
        <v>11128</v>
      </c>
      <c r="C115" s="227" t="s">
        <v>258</v>
      </c>
      <c r="D115" s="228">
        <v>1</v>
      </c>
      <c r="E115" s="229">
        <v>0</v>
      </c>
      <c r="F115" s="229">
        <v>0.85499999999999998</v>
      </c>
      <c r="G115" s="229">
        <v>0.85499999999999998</v>
      </c>
      <c r="H115" s="227" t="s">
        <v>168</v>
      </c>
      <c r="I115" s="461">
        <v>1733</v>
      </c>
      <c r="J115" s="247"/>
      <c r="K115" s="247"/>
      <c r="L115" s="247">
        <v>0.3</v>
      </c>
      <c r="M115" s="247"/>
      <c r="N115" s="247"/>
    </row>
    <row r="116" spans="1:14" ht="15" customHeight="1" x14ac:dyDescent="0.3">
      <c r="A116" s="225">
        <v>151</v>
      </c>
      <c r="B116" s="230">
        <v>49</v>
      </c>
      <c r="C116" s="231" t="s">
        <v>219</v>
      </c>
      <c r="D116" s="223">
        <v>1</v>
      </c>
      <c r="E116" s="232">
        <v>58.771999999999998</v>
      </c>
      <c r="F116" s="232">
        <v>64.69</v>
      </c>
      <c r="G116" s="232">
        <v>5.9179999999999993</v>
      </c>
      <c r="H116" s="231" t="s">
        <v>178</v>
      </c>
      <c r="I116" s="463" t="s">
        <v>503</v>
      </c>
      <c r="J116" s="248"/>
      <c r="K116" s="248"/>
      <c r="L116" s="248">
        <v>2.06</v>
      </c>
      <c r="M116" s="248"/>
      <c r="N116" s="248"/>
    </row>
    <row r="117" spans="1:14" ht="15" customHeight="1" x14ac:dyDescent="0.3">
      <c r="A117" s="223">
        <v>152</v>
      </c>
      <c r="B117" s="230">
        <v>57</v>
      </c>
      <c r="C117" s="231" t="s">
        <v>169</v>
      </c>
      <c r="D117" s="223">
        <v>1</v>
      </c>
      <c r="E117" s="232">
        <v>22.635000000000002</v>
      </c>
      <c r="F117" s="232">
        <v>32.734999999999999</v>
      </c>
      <c r="G117" s="232">
        <v>10.099999999999998</v>
      </c>
      <c r="H117" s="237" t="s">
        <v>259</v>
      </c>
      <c r="I117" s="462">
        <v>653</v>
      </c>
      <c r="J117" s="248"/>
      <c r="K117" s="248"/>
      <c r="L117" s="248"/>
      <c r="M117" s="248">
        <v>2</v>
      </c>
      <c r="N117" s="248"/>
    </row>
    <row r="118" spans="1:14" ht="15" customHeight="1" x14ac:dyDescent="0.3">
      <c r="A118" s="225">
        <v>155</v>
      </c>
      <c r="B118" s="226">
        <v>11310</v>
      </c>
      <c r="C118" s="227" t="s">
        <v>260</v>
      </c>
      <c r="D118" s="228">
        <v>1</v>
      </c>
      <c r="E118" s="229">
        <v>11.602</v>
      </c>
      <c r="F118" s="229">
        <v>16.34</v>
      </c>
      <c r="G118" s="229">
        <v>4.7379999999999995</v>
      </c>
      <c r="H118" s="227" t="s">
        <v>168</v>
      </c>
      <c r="I118" s="461">
        <v>1487</v>
      </c>
      <c r="J118" s="247"/>
      <c r="K118" s="247"/>
      <c r="L118" s="247"/>
      <c r="M118" s="247"/>
      <c r="N118" s="247">
        <v>1.6</v>
      </c>
    </row>
    <row r="119" spans="1:14" ht="15" customHeight="1" x14ac:dyDescent="0.3">
      <c r="A119" s="223">
        <v>156</v>
      </c>
      <c r="B119" s="226">
        <v>88</v>
      </c>
      <c r="C119" s="227" t="s">
        <v>197</v>
      </c>
      <c r="D119" s="228">
        <v>1</v>
      </c>
      <c r="E119" s="229">
        <v>25.484000000000002</v>
      </c>
      <c r="F119" s="229">
        <v>33.073</v>
      </c>
      <c r="G119" s="229">
        <v>7.5889999999999986</v>
      </c>
      <c r="H119" s="227" t="s">
        <v>198</v>
      </c>
      <c r="I119" s="461">
        <v>553</v>
      </c>
      <c r="J119" s="247"/>
      <c r="K119" s="247"/>
      <c r="L119" s="247"/>
      <c r="M119" s="247"/>
      <c r="N119" s="247">
        <v>2.7</v>
      </c>
    </row>
    <row r="120" spans="1:14" ht="15" customHeight="1" x14ac:dyDescent="0.3">
      <c r="A120" s="225">
        <v>157</v>
      </c>
      <c r="B120" s="226">
        <v>17</v>
      </c>
      <c r="C120" s="227" t="s">
        <v>209</v>
      </c>
      <c r="D120" s="228">
        <v>1</v>
      </c>
      <c r="E120" s="229">
        <v>25.36</v>
      </c>
      <c r="F120" s="229">
        <v>34.793999999999997</v>
      </c>
      <c r="G120" s="229">
        <v>9.4339999999999975</v>
      </c>
      <c r="H120" s="227" t="s">
        <v>168</v>
      </c>
      <c r="I120" s="461">
        <v>619</v>
      </c>
      <c r="J120" s="248"/>
      <c r="K120" s="248"/>
      <c r="L120" s="248"/>
      <c r="M120" s="248"/>
      <c r="N120" s="248">
        <v>3.4</v>
      </c>
    </row>
    <row r="121" spans="1:14" ht="15" customHeight="1" x14ac:dyDescent="0.3">
      <c r="A121" s="223">
        <v>158</v>
      </c>
      <c r="B121" s="226">
        <v>13116</v>
      </c>
      <c r="C121" s="227" t="s">
        <v>261</v>
      </c>
      <c r="D121" s="228">
        <v>1</v>
      </c>
      <c r="E121" s="229">
        <v>0</v>
      </c>
      <c r="F121" s="229">
        <v>1.41</v>
      </c>
      <c r="G121" s="229">
        <v>1.41</v>
      </c>
      <c r="H121" s="227" t="s">
        <v>164</v>
      </c>
      <c r="I121" s="459" t="s">
        <v>504</v>
      </c>
      <c r="J121" s="247"/>
      <c r="K121" s="247"/>
      <c r="L121" s="247"/>
      <c r="M121" s="247"/>
      <c r="N121" s="247">
        <v>0.5</v>
      </c>
    </row>
    <row r="122" spans="1:14" ht="15" customHeight="1" x14ac:dyDescent="0.3">
      <c r="A122" s="223">
        <v>162</v>
      </c>
      <c r="B122" s="226">
        <v>39</v>
      </c>
      <c r="C122" s="227" t="s">
        <v>242</v>
      </c>
      <c r="D122" s="228">
        <v>1</v>
      </c>
      <c r="E122" s="229">
        <v>93.100999999999999</v>
      </c>
      <c r="F122" s="229">
        <v>93.733000000000004</v>
      </c>
      <c r="G122" s="229">
        <v>0.632000000000005</v>
      </c>
      <c r="H122" s="227" t="s">
        <v>188</v>
      </c>
      <c r="I122" s="461">
        <v>888</v>
      </c>
      <c r="J122" s="247"/>
      <c r="K122" s="247"/>
      <c r="L122" s="247"/>
      <c r="M122" s="247"/>
      <c r="N122" s="247">
        <v>0.21</v>
      </c>
    </row>
    <row r="123" spans="1:14" ht="15" customHeight="1" x14ac:dyDescent="0.3">
      <c r="A123" s="225">
        <v>163</v>
      </c>
      <c r="B123" s="226">
        <v>20117</v>
      </c>
      <c r="C123" s="227" t="s">
        <v>262</v>
      </c>
      <c r="D123" s="228">
        <v>1</v>
      </c>
      <c r="E123" s="229">
        <v>6.3979999999999997</v>
      </c>
      <c r="F123" s="229">
        <v>10.779</v>
      </c>
      <c r="G123" s="229">
        <v>4.3810000000000002</v>
      </c>
      <c r="H123" s="227" t="s">
        <v>212</v>
      </c>
      <c r="I123" s="461">
        <v>1065</v>
      </c>
      <c r="J123" s="247"/>
      <c r="K123" s="247"/>
      <c r="L123" s="247"/>
      <c r="M123" s="247"/>
      <c r="N123" s="247">
        <v>1.54</v>
      </c>
    </row>
    <row r="124" spans="1:14" ht="15" customHeight="1" x14ac:dyDescent="0.3">
      <c r="A124" s="223">
        <v>164</v>
      </c>
      <c r="B124" s="230">
        <v>27</v>
      </c>
      <c r="C124" s="231" t="s">
        <v>235</v>
      </c>
      <c r="D124" s="223">
        <v>1</v>
      </c>
      <c r="E124" s="232">
        <v>32.868000000000002</v>
      </c>
      <c r="F124" s="232">
        <v>38.131999999999998</v>
      </c>
      <c r="G124" s="232">
        <v>5.2639999999999958</v>
      </c>
      <c r="H124" s="231" t="s">
        <v>171</v>
      </c>
      <c r="I124" s="462">
        <v>577</v>
      </c>
      <c r="J124" s="247"/>
      <c r="K124" s="247">
        <v>1.82</v>
      </c>
      <c r="L124" s="247"/>
      <c r="M124" s="247"/>
      <c r="N124" s="247"/>
    </row>
    <row r="125" spans="1:14" ht="15" customHeight="1" x14ac:dyDescent="0.3">
      <c r="A125" s="225">
        <v>165</v>
      </c>
      <c r="B125" s="226">
        <v>11245</v>
      </c>
      <c r="C125" s="227" t="s">
        <v>263</v>
      </c>
      <c r="D125" s="228">
        <v>1</v>
      </c>
      <c r="E125" s="229">
        <v>0</v>
      </c>
      <c r="F125" s="229">
        <v>1</v>
      </c>
      <c r="G125" s="229">
        <v>1</v>
      </c>
      <c r="H125" s="227" t="s">
        <v>168</v>
      </c>
      <c r="I125" s="459" t="s">
        <v>505</v>
      </c>
      <c r="J125" s="247"/>
      <c r="K125" s="247"/>
      <c r="L125" s="247"/>
      <c r="M125" s="247"/>
      <c r="N125" s="247">
        <v>0.35</v>
      </c>
    </row>
    <row r="126" spans="1:14" ht="15" customHeight="1" x14ac:dyDescent="0.3">
      <c r="A126" s="225">
        <v>167</v>
      </c>
      <c r="B126" s="226">
        <v>39</v>
      </c>
      <c r="C126" s="227" t="s">
        <v>242</v>
      </c>
      <c r="D126" s="228">
        <v>1</v>
      </c>
      <c r="E126" s="229">
        <v>94.707999999999998</v>
      </c>
      <c r="F126" s="229">
        <v>96.04</v>
      </c>
      <c r="G126" s="229">
        <v>1.3320000000000078</v>
      </c>
      <c r="H126" s="227" t="s">
        <v>188</v>
      </c>
      <c r="I126" s="459" t="s">
        <v>506</v>
      </c>
      <c r="J126" s="247"/>
      <c r="K126" s="247"/>
      <c r="L126" s="247"/>
      <c r="M126" s="247"/>
      <c r="N126" s="247">
        <v>0.5</v>
      </c>
    </row>
    <row r="127" spans="1:14" ht="15" customHeight="1" x14ac:dyDescent="0.3">
      <c r="A127" s="223">
        <v>170</v>
      </c>
      <c r="B127" s="226">
        <v>15</v>
      </c>
      <c r="C127" s="227" t="s">
        <v>264</v>
      </c>
      <c r="D127" s="228">
        <v>1</v>
      </c>
      <c r="E127" s="229">
        <v>70.569000000000003</v>
      </c>
      <c r="F127" s="229">
        <v>78.927000000000007</v>
      </c>
      <c r="G127" s="229">
        <v>8.3580000000000041</v>
      </c>
      <c r="H127" s="227" t="s">
        <v>212</v>
      </c>
      <c r="I127" s="461">
        <v>1940</v>
      </c>
      <c r="J127" s="247"/>
      <c r="K127" s="247"/>
      <c r="L127" s="247">
        <v>1.2689999999999999</v>
      </c>
      <c r="M127" s="247"/>
      <c r="N127" s="247"/>
    </row>
    <row r="128" spans="1:14" ht="15" customHeight="1" x14ac:dyDescent="0.3">
      <c r="A128" s="225">
        <v>171</v>
      </c>
      <c r="B128" s="230">
        <v>52</v>
      </c>
      <c r="C128" s="231" t="s">
        <v>249</v>
      </c>
      <c r="D128" s="223">
        <v>1</v>
      </c>
      <c r="E128" s="232">
        <v>11.59</v>
      </c>
      <c r="F128" s="232">
        <v>22.097000000000001</v>
      </c>
      <c r="G128" s="232">
        <v>10.507000000000001</v>
      </c>
      <c r="H128" s="231" t="s">
        <v>178</v>
      </c>
      <c r="I128" s="462">
        <v>1516</v>
      </c>
      <c r="J128" s="248"/>
      <c r="K128" s="248"/>
      <c r="L128" s="248"/>
      <c r="M128" s="248">
        <v>3.5</v>
      </c>
      <c r="N128" s="248"/>
    </row>
    <row r="129" spans="1:14" ht="15" customHeight="1" x14ac:dyDescent="0.3">
      <c r="A129" s="225">
        <v>173</v>
      </c>
      <c r="B129" s="226">
        <v>11332</v>
      </c>
      <c r="C129" s="227" t="s">
        <v>265</v>
      </c>
      <c r="D129" s="228">
        <v>1</v>
      </c>
      <c r="E129" s="229">
        <v>0</v>
      </c>
      <c r="F129" s="229">
        <v>0.93</v>
      </c>
      <c r="G129" s="229">
        <v>0.93</v>
      </c>
      <c r="H129" s="227" t="s">
        <v>168</v>
      </c>
      <c r="I129" s="461">
        <v>1784</v>
      </c>
      <c r="J129" s="247"/>
      <c r="K129" s="247"/>
      <c r="L129" s="247"/>
      <c r="M129" s="247"/>
      <c r="N129" s="247">
        <v>0.3</v>
      </c>
    </row>
    <row r="130" spans="1:14" ht="15" customHeight="1" x14ac:dyDescent="0.3">
      <c r="A130" s="223">
        <v>174</v>
      </c>
      <c r="B130" s="226">
        <v>25</v>
      </c>
      <c r="C130" s="227" t="s">
        <v>255</v>
      </c>
      <c r="D130" s="228">
        <v>1</v>
      </c>
      <c r="E130" s="229">
        <v>0.03</v>
      </c>
      <c r="F130" s="229">
        <v>2.2999999999999998</v>
      </c>
      <c r="G130" s="229">
        <v>2.27</v>
      </c>
      <c r="H130" s="227" t="s">
        <v>188</v>
      </c>
      <c r="I130" s="461">
        <v>855</v>
      </c>
      <c r="J130" s="247"/>
      <c r="K130" s="247"/>
      <c r="L130" s="247"/>
      <c r="M130" s="247"/>
      <c r="N130" s="247">
        <v>0.8</v>
      </c>
    </row>
    <row r="131" spans="1:14" ht="15" customHeight="1" x14ac:dyDescent="0.3">
      <c r="A131" s="223">
        <v>176</v>
      </c>
      <c r="B131" s="226">
        <v>29</v>
      </c>
      <c r="C131" s="227" t="s">
        <v>239</v>
      </c>
      <c r="D131" s="228">
        <v>1</v>
      </c>
      <c r="E131" s="229">
        <v>16.542999999999999</v>
      </c>
      <c r="F131" s="229">
        <v>23.844999999999999</v>
      </c>
      <c r="G131" s="229">
        <v>7.3019999999999996</v>
      </c>
      <c r="H131" s="227" t="s">
        <v>212</v>
      </c>
      <c r="I131" s="461">
        <v>1070</v>
      </c>
      <c r="J131" s="247"/>
      <c r="K131" s="247"/>
      <c r="L131" s="247"/>
      <c r="M131" s="247"/>
      <c r="N131" s="247">
        <v>2.6</v>
      </c>
    </row>
    <row r="132" spans="1:14" ht="15" customHeight="1" x14ac:dyDescent="0.3">
      <c r="A132" s="225">
        <v>177</v>
      </c>
      <c r="B132" s="226">
        <v>11304</v>
      </c>
      <c r="C132" s="227" t="s">
        <v>266</v>
      </c>
      <c r="D132" s="228">
        <v>1</v>
      </c>
      <c r="E132" s="229">
        <v>7.5999999999999998E-2</v>
      </c>
      <c r="F132" s="229">
        <v>2</v>
      </c>
      <c r="G132" s="229">
        <v>1.9239999999999999</v>
      </c>
      <c r="H132" s="227" t="s">
        <v>168</v>
      </c>
      <c r="I132" s="461">
        <v>1427</v>
      </c>
      <c r="J132" s="247"/>
      <c r="K132" s="247"/>
      <c r="L132" s="247"/>
      <c r="M132" s="247"/>
      <c r="N132" s="247">
        <v>0.7</v>
      </c>
    </row>
    <row r="133" spans="1:14" ht="15" customHeight="1" x14ac:dyDescent="0.3">
      <c r="A133" s="225">
        <v>181</v>
      </c>
      <c r="B133" s="226">
        <v>22</v>
      </c>
      <c r="C133" s="227" t="s">
        <v>267</v>
      </c>
      <c r="D133" s="228">
        <v>1</v>
      </c>
      <c r="E133" s="229">
        <v>25.887</v>
      </c>
      <c r="F133" s="229">
        <v>27.440999999999999</v>
      </c>
      <c r="G133" s="229">
        <v>1.5539999999999985</v>
      </c>
      <c r="H133" s="227" t="s">
        <v>198</v>
      </c>
      <c r="I133" s="459" t="s">
        <v>507</v>
      </c>
      <c r="J133" s="247"/>
      <c r="K133" s="247"/>
      <c r="L133" s="247"/>
      <c r="M133" s="247"/>
      <c r="N133" s="247">
        <v>0.61</v>
      </c>
    </row>
    <row r="134" spans="1:14" ht="15" customHeight="1" x14ac:dyDescent="0.3">
      <c r="A134" s="223">
        <v>182</v>
      </c>
      <c r="B134" s="226">
        <v>85</v>
      </c>
      <c r="C134" s="227" t="s">
        <v>268</v>
      </c>
      <c r="D134" s="228">
        <v>1</v>
      </c>
      <c r="E134" s="229">
        <v>10.999000000000001</v>
      </c>
      <c r="F134" s="229">
        <v>15.491</v>
      </c>
      <c r="G134" s="229">
        <v>4.4919999999999991</v>
      </c>
      <c r="H134" s="227" t="s">
        <v>168</v>
      </c>
      <c r="I134" s="461">
        <v>1494</v>
      </c>
      <c r="J134" s="247"/>
      <c r="K134" s="247"/>
      <c r="L134" s="247"/>
      <c r="M134" s="247"/>
      <c r="N134" s="247">
        <v>1.6</v>
      </c>
    </row>
    <row r="135" spans="1:14" ht="15" customHeight="1" x14ac:dyDescent="0.3">
      <c r="A135" s="225">
        <v>187</v>
      </c>
      <c r="B135" s="233">
        <v>20141</v>
      </c>
      <c r="C135" s="234" t="s">
        <v>269</v>
      </c>
      <c r="D135" s="235">
        <v>1</v>
      </c>
      <c r="E135" s="238">
        <v>0</v>
      </c>
      <c r="F135" s="238">
        <v>2.56</v>
      </c>
      <c r="G135" s="229">
        <v>2.56</v>
      </c>
      <c r="H135" s="227" t="s">
        <v>212</v>
      </c>
      <c r="I135" s="465" t="s">
        <v>508</v>
      </c>
      <c r="J135" s="248">
        <v>0.45</v>
      </c>
      <c r="K135" s="248"/>
      <c r="L135" s="248"/>
      <c r="M135" s="248"/>
      <c r="N135" s="248"/>
    </row>
    <row r="136" spans="1:14" ht="15" customHeight="1" x14ac:dyDescent="0.3">
      <c r="A136" s="223">
        <v>196</v>
      </c>
      <c r="B136" s="230">
        <v>81</v>
      </c>
      <c r="C136" s="231" t="s">
        <v>189</v>
      </c>
      <c r="D136" s="223">
        <v>1</v>
      </c>
      <c r="E136" s="232">
        <v>4.9000000000000004</v>
      </c>
      <c r="F136" s="232">
        <v>11.414999999999999</v>
      </c>
      <c r="G136" s="232">
        <v>6.5149999999999988</v>
      </c>
      <c r="H136" s="231" t="s">
        <v>190</v>
      </c>
      <c r="I136" s="462">
        <v>823</v>
      </c>
      <c r="J136" s="247"/>
      <c r="K136" s="247"/>
      <c r="L136" s="247">
        <v>1.98</v>
      </c>
      <c r="M136" s="247"/>
      <c r="N136" s="247"/>
    </row>
    <row r="137" spans="1:14" ht="15" customHeight="1" x14ac:dyDescent="0.3">
      <c r="A137" s="225">
        <v>197</v>
      </c>
      <c r="B137" s="226">
        <v>11390</v>
      </c>
      <c r="C137" s="227" t="s">
        <v>270</v>
      </c>
      <c r="D137" s="228">
        <v>1</v>
      </c>
      <c r="E137" s="229">
        <v>26.667999999999999</v>
      </c>
      <c r="F137" s="229">
        <v>36.741</v>
      </c>
      <c r="G137" s="229">
        <v>10.073</v>
      </c>
      <c r="H137" s="227" t="s">
        <v>168</v>
      </c>
      <c r="I137" s="459" t="s">
        <v>509</v>
      </c>
      <c r="J137" s="247">
        <v>2.38</v>
      </c>
      <c r="K137" s="247"/>
      <c r="L137" s="247"/>
      <c r="M137" s="247"/>
      <c r="N137" s="247"/>
    </row>
    <row r="138" spans="1:14" ht="15" customHeight="1" x14ac:dyDescent="0.3">
      <c r="A138" s="225">
        <v>209</v>
      </c>
      <c r="B138" s="230">
        <v>10</v>
      </c>
      <c r="C138" s="231" t="s">
        <v>225</v>
      </c>
      <c r="D138" s="223">
        <v>1</v>
      </c>
      <c r="E138" s="232">
        <v>56.481000000000002</v>
      </c>
      <c r="F138" s="232">
        <v>64.962000000000003</v>
      </c>
      <c r="G138" s="232">
        <v>8.4810000000000016</v>
      </c>
      <c r="H138" s="231" t="s">
        <v>170</v>
      </c>
      <c r="I138" s="462">
        <v>1909</v>
      </c>
      <c r="J138" s="248"/>
      <c r="K138" s="248">
        <v>3.3</v>
      </c>
      <c r="L138" s="248"/>
      <c r="M138" s="248"/>
      <c r="N138" s="248"/>
    </row>
    <row r="139" spans="1:14" ht="15" customHeight="1" x14ac:dyDescent="0.3">
      <c r="A139" s="223">
        <v>216</v>
      </c>
      <c r="B139" s="230">
        <v>49</v>
      </c>
      <c r="C139" s="231" t="s">
        <v>219</v>
      </c>
      <c r="D139" s="223">
        <v>1</v>
      </c>
      <c r="E139" s="232">
        <v>53.38</v>
      </c>
      <c r="F139" s="232">
        <v>58.4</v>
      </c>
      <c r="G139" s="232">
        <v>5.019999999999996</v>
      </c>
      <c r="H139" s="231" t="s">
        <v>178</v>
      </c>
      <c r="I139" s="463" t="s">
        <v>510</v>
      </c>
      <c r="J139" s="247"/>
      <c r="K139" s="247"/>
      <c r="L139" s="247"/>
      <c r="M139" s="247">
        <v>1.9</v>
      </c>
      <c r="N139" s="247"/>
    </row>
    <row r="140" spans="1:14" ht="14" x14ac:dyDescent="0.3">
      <c r="A140" s="225">
        <v>229</v>
      </c>
      <c r="B140" s="233">
        <v>15</v>
      </c>
      <c r="C140" s="234" t="s">
        <v>264</v>
      </c>
      <c r="D140" s="235">
        <v>1</v>
      </c>
      <c r="E140" s="238">
        <v>51.484000000000002</v>
      </c>
      <c r="F140" s="238">
        <v>59.585000000000001</v>
      </c>
      <c r="G140" s="229">
        <v>8.1009999999999991</v>
      </c>
      <c r="H140" s="227" t="s">
        <v>212</v>
      </c>
      <c r="I140" s="465" t="s">
        <v>511</v>
      </c>
      <c r="J140" s="248">
        <v>2.76</v>
      </c>
      <c r="K140" s="248"/>
      <c r="L140" s="248"/>
      <c r="M140" s="248"/>
      <c r="N140" s="248"/>
    </row>
    <row r="141" spans="1:14" ht="15" customHeight="1" x14ac:dyDescent="0.3">
      <c r="A141" s="225"/>
      <c r="B141" s="226">
        <v>27</v>
      </c>
      <c r="C141" s="227" t="s">
        <v>235</v>
      </c>
      <c r="D141" s="228">
        <v>1</v>
      </c>
      <c r="E141" s="229">
        <v>16.393999999999998</v>
      </c>
      <c r="F141" s="229">
        <v>19.013000000000002</v>
      </c>
      <c r="G141" s="229">
        <f>F141-E141</f>
        <v>2.6190000000000033</v>
      </c>
      <c r="H141" s="227" t="s">
        <v>212</v>
      </c>
      <c r="I141" s="466">
        <v>577</v>
      </c>
      <c r="J141" s="247">
        <v>0</v>
      </c>
      <c r="K141" s="247">
        <v>0.5</v>
      </c>
      <c r="L141" s="247"/>
      <c r="M141" s="247"/>
      <c r="N141" s="247"/>
    </row>
    <row r="142" spans="1:14" ht="15" customHeight="1" x14ac:dyDescent="0.35">
      <c r="A142" s="223"/>
      <c r="B142" s="230">
        <v>21144</v>
      </c>
      <c r="C142" s="220" t="s">
        <v>273</v>
      </c>
      <c r="D142" s="228">
        <v>1</v>
      </c>
      <c r="E142" s="232">
        <v>0</v>
      </c>
      <c r="F142" s="232">
        <v>1.7689999999999999</v>
      </c>
      <c r="G142" s="232">
        <v>1.7689999999999999</v>
      </c>
      <c r="H142" s="231" t="s">
        <v>241</v>
      </c>
      <c r="I142" s="467">
        <v>195</v>
      </c>
      <c r="J142" s="247">
        <v>0.5</v>
      </c>
      <c r="K142" s="247"/>
      <c r="L142" s="247"/>
      <c r="M142" s="247"/>
      <c r="N142" s="247"/>
    </row>
    <row r="143" spans="1:14" ht="15" customHeight="1" x14ac:dyDescent="0.35">
      <c r="A143" s="223"/>
      <c r="B143" s="230">
        <v>19203</v>
      </c>
      <c r="C143" s="220" t="s">
        <v>272</v>
      </c>
      <c r="D143" s="228">
        <v>1</v>
      </c>
      <c r="E143" s="232">
        <v>9.077</v>
      </c>
      <c r="F143" s="229">
        <v>14.156000000000001</v>
      </c>
      <c r="G143" s="229">
        <v>5.0790000000000006</v>
      </c>
      <c r="H143" s="231" t="s">
        <v>171</v>
      </c>
      <c r="I143" s="468">
        <v>418</v>
      </c>
      <c r="J143" s="247"/>
      <c r="K143" s="247">
        <v>0.9</v>
      </c>
      <c r="L143" s="247"/>
      <c r="M143" s="247"/>
      <c r="N143" s="247"/>
    </row>
    <row r="144" spans="1:14" ht="15" customHeight="1" x14ac:dyDescent="0.35">
      <c r="A144" s="223"/>
      <c r="B144" s="230">
        <v>77</v>
      </c>
      <c r="C144" s="231" t="s">
        <v>257</v>
      </c>
      <c r="D144" s="228">
        <v>1</v>
      </c>
      <c r="E144" s="232">
        <v>16.899999999999999</v>
      </c>
      <c r="F144" s="232">
        <v>21.2</v>
      </c>
      <c r="G144" s="232">
        <v>4.3000000000000007</v>
      </c>
      <c r="H144" s="231" t="s">
        <v>241</v>
      </c>
      <c r="I144" s="469">
        <v>1177</v>
      </c>
      <c r="J144" s="247"/>
      <c r="K144" s="247"/>
      <c r="L144" s="247"/>
      <c r="M144" s="247">
        <v>1.5</v>
      </c>
      <c r="N144" s="247"/>
    </row>
    <row r="145" spans="1:14" ht="15" customHeight="1" x14ac:dyDescent="0.35">
      <c r="A145" s="223"/>
      <c r="B145" s="230">
        <v>92</v>
      </c>
      <c r="C145" s="220" t="s">
        <v>271</v>
      </c>
      <c r="D145" s="228">
        <v>1</v>
      </c>
      <c r="E145" s="229">
        <v>84.527000000000001</v>
      </c>
      <c r="F145" s="232">
        <v>93.048000000000002</v>
      </c>
      <c r="G145" s="232">
        <v>8.5210000000000008</v>
      </c>
      <c r="H145" s="231" t="s">
        <v>178</v>
      </c>
      <c r="I145" s="468">
        <v>1322</v>
      </c>
      <c r="J145" s="247"/>
      <c r="K145" s="247"/>
      <c r="L145" s="247"/>
      <c r="M145" s="247">
        <v>2.6</v>
      </c>
      <c r="N145" s="247"/>
    </row>
    <row r="146" spans="1:14" ht="28.15" customHeight="1" x14ac:dyDescent="0.3">
      <c r="A146" s="223"/>
      <c r="B146" s="230">
        <v>6</v>
      </c>
      <c r="C146" s="231" t="s">
        <v>200</v>
      </c>
      <c r="D146" s="223">
        <v>1</v>
      </c>
      <c r="E146" s="232">
        <v>82.792000000000002</v>
      </c>
      <c r="F146" s="232">
        <v>93.977999999999994</v>
      </c>
      <c r="G146" s="232">
        <v>11.185999999999993</v>
      </c>
      <c r="H146" s="237" t="s">
        <v>259</v>
      </c>
      <c r="I146" s="463" t="s">
        <v>512</v>
      </c>
      <c r="J146" s="248">
        <v>3.4</v>
      </c>
      <c r="K146" s="248"/>
      <c r="L146" s="248"/>
      <c r="M146" s="248"/>
      <c r="N146" s="248"/>
    </row>
    <row r="147" spans="1:14" x14ac:dyDescent="0.3">
      <c r="J147" s="217"/>
    </row>
    <row r="148" spans="1:14" x14ac:dyDescent="0.3">
      <c r="J148" s="217"/>
    </row>
    <row r="149" spans="1:14" x14ac:dyDescent="0.3">
      <c r="J149" s="217"/>
    </row>
    <row r="150" spans="1:14" x14ac:dyDescent="0.3">
      <c r="J150" s="217"/>
    </row>
    <row r="151" spans="1:14" x14ac:dyDescent="0.3">
      <c r="J151" s="217"/>
    </row>
    <row r="152" spans="1:14" x14ac:dyDescent="0.3">
      <c r="J152" s="217"/>
    </row>
    <row r="153" spans="1:14" x14ac:dyDescent="0.3">
      <c r="J153" s="217"/>
    </row>
    <row r="154" spans="1:14" x14ac:dyDescent="0.3">
      <c r="J154" s="217"/>
    </row>
    <row r="155" spans="1:14" x14ac:dyDescent="0.3">
      <c r="J155" s="217"/>
    </row>
    <row r="156" spans="1:14" x14ac:dyDescent="0.3">
      <c r="J156" s="217"/>
    </row>
    <row r="157" spans="1:14" x14ac:dyDescent="0.3">
      <c r="J157" s="217"/>
    </row>
    <row r="158" spans="1:14" x14ac:dyDescent="0.3">
      <c r="J158" s="217"/>
    </row>
    <row r="159" spans="1:14" x14ac:dyDescent="0.3">
      <c r="J159" s="217"/>
    </row>
    <row r="160" spans="1:14" x14ac:dyDescent="0.3">
      <c r="J160" s="217"/>
    </row>
    <row r="161" spans="10:10" x14ac:dyDescent="0.3">
      <c r="J161" s="217"/>
    </row>
    <row r="162" spans="10:10" x14ac:dyDescent="0.3">
      <c r="J162" s="217"/>
    </row>
    <row r="163" spans="10:10" x14ac:dyDescent="0.3">
      <c r="J163" s="217"/>
    </row>
    <row r="164" spans="10:10" x14ac:dyDescent="0.3">
      <c r="J164" s="217"/>
    </row>
    <row r="165" spans="10:10" x14ac:dyDescent="0.3">
      <c r="J165" s="217"/>
    </row>
    <row r="166" spans="10:10" x14ac:dyDescent="0.3">
      <c r="J166" s="217"/>
    </row>
    <row r="167" spans="10:10" x14ac:dyDescent="0.3">
      <c r="J167" s="217"/>
    </row>
    <row r="168" spans="10:10" x14ac:dyDescent="0.3">
      <c r="J168" s="217"/>
    </row>
    <row r="169" spans="10:10" x14ac:dyDescent="0.3">
      <c r="J169" s="217"/>
    </row>
    <row r="170" spans="10:10" x14ac:dyDescent="0.3">
      <c r="J170" s="217"/>
    </row>
    <row r="171" spans="10:10" x14ac:dyDescent="0.3">
      <c r="J171" s="217"/>
    </row>
    <row r="172" spans="10:10" x14ac:dyDescent="0.3">
      <c r="J172" s="217"/>
    </row>
    <row r="173" spans="10:10" x14ac:dyDescent="0.3">
      <c r="J173" s="217"/>
    </row>
    <row r="174" spans="10:10" x14ac:dyDescent="0.3">
      <c r="J174" s="217"/>
    </row>
    <row r="175" spans="10:10" x14ac:dyDescent="0.3">
      <c r="J175" s="217"/>
    </row>
    <row r="176" spans="10:10" x14ac:dyDescent="0.3">
      <c r="J176" s="217"/>
    </row>
    <row r="177" spans="10:10" x14ac:dyDescent="0.3">
      <c r="J177" s="217"/>
    </row>
    <row r="178" spans="10:10" x14ac:dyDescent="0.3">
      <c r="J178" s="217"/>
    </row>
    <row r="179" spans="10:10" x14ac:dyDescent="0.3">
      <c r="J179" s="217"/>
    </row>
    <row r="180" spans="10:10" x14ac:dyDescent="0.3">
      <c r="J180" s="217"/>
    </row>
    <row r="181" spans="10:10" x14ac:dyDescent="0.3">
      <c r="J181" s="217"/>
    </row>
    <row r="182" spans="10:10" x14ac:dyDescent="0.3">
      <c r="J182" s="217"/>
    </row>
    <row r="183" spans="10:10" x14ac:dyDescent="0.3">
      <c r="J183" s="217"/>
    </row>
    <row r="184" spans="10:10" x14ac:dyDescent="0.3">
      <c r="J184" s="217"/>
    </row>
    <row r="185" spans="10:10" x14ac:dyDescent="0.3">
      <c r="J185" s="217"/>
    </row>
    <row r="186" spans="10:10" x14ac:dyDescent="0.3">
      <c r="J186" s="217"/>
    </row>
    <row r="187" spans="10:10" x14ac:dyDescent="0.3">
      <c r="J187" s="217"/>
    </row>
    <row r="188" spans="10:10" x14ac:dyDescent="0.3">
      <c r="J188" s="217"/>
    </row>
    <row r="189" spans="10:10" x14ac:dyDescent="0.3">
      <c r="J189" s="217"/>
    </row>
    <row r="190" spans="10:10" x14ac:dyDescent="0.3">
      <c r="J190" s="217"/>
    </row>
    <row r="191" spans="10:10" x14ac:dyDescent="0.3">
      <c r="J191" s="217"/>
    </row>
    <row r="192" spans="10:10" x14ac:dyDescent="0.3">
      <c r="J192" s="217"/>
    </row>
  </sheetData>
  <autoFilter ref="A5:N146" xr:uid="{00000000-0009-0000-0000-00001D000000}">
    <sortState xmlns:xlrd2="http://schemas.microsoft.com/office/spreadsheetml/2017/richdata2" ref="A7:O148">
      <sortCondition ref="A6:A148"/>
    </sortState>
  </autoFilter>
  <mergeCells count="10">
    <mergeCell ref="G2:G3"/>
    <mergeCell ref="H2:H3"/>
    <mergeCell ref="I2:I3"/>
    <mergeCell ref="J2:N2"/>
    <mergeCell ref="A2:A3"/>
    <mergeCell ref="B2:B3"/>
    <mergeCell ref="C2:C3"/>
    <mergeCell ref="D2:D3"/>
    <mergeCell ref="E2:E3"/>
    <mergeCell ref="F2:F3"/>
  </mergeCells>
  <pageMargins left="0.7" right="0.7" top="0.75" bottom="0.75" header="0.3" footer="0.3"/>
  <pageSetup paperSize="9" orientation="portrait" r:id="rId1"/>
  <customProperties>
    <customPr name="EpmWorksheetKeyString_GUID" r:id="rId2"/>
  </customPropertie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2:Q143"/>
  <sheetViews>
    <sheetView topLeftCell="A115" zoomScale="80" zoomScaleNormal="80" workbookViewId="0">
      <selection activeCell="O129" sqref="O129"/>
    </sheetView>
  </sheetViews>
  <sheetFormatPr defaultRowHeight="10.5" x14ac:dyDescent="0.2"/>
  <cols>
    <col min="1" max="1" width="5.26953125" style="478" customWidth="1"/>
    <col min="2" max="2" width="5.7265625" style="478" customWidth="1"/>
    <col min="3" max="3" width="24" style="501" customWidth="1"/>
    <col min="4" max="4" width="5.7265625" style="478" hidden="1" customWidth="1"/>
    <col min="5" max="5" width="8.26953125" style="502" customWidth="1"/>
    <col min="6" max="6" width="9.1796875" style="502"/>
    <col min="7" max="7" width="7.1796875" style="502" customWidth="1"/>
    <col min="8" max="8" width="11.1796875" style="504" customWidth="1"/>
    <col min="9" max="9" width="8.81640625" style="502" customWidth="1"/>
    <col min="10" max="10" width="6.54296875" style="504" bestFit="1" customWidth="1"/>
    <col min="11" max="14" width="7.54296875" style="506" customWidth="1"/>
    <col min="15" max="15" width="56.81640625" style="478" customWidth="1"/>
    <col min="16" max="256" width="9.1796875" style="478"/>
    <col min="257" max="257" width="5.7265625" style="478" customWidth="1"/>
    <col min="258" max="258" width="24" style="478" customWidth="1"/>
    <col min="259" max="259" width="0" style="478" hidden="1" customWidth="1"/>
    <col min="260" max="260" width="8.26953125" style="478" customWidth="1"/>
    <col min="261" max="261" width="9.1796875" style="478"/>
    <col min="262" max="262" width="7.1796875" style="478" customWidth="1"/>
    <col min="263" max="263" width="0" style="478" hidden="1" customWidth="1"/>
    <col min="264" max="264" width="11.1796875" style="478" customWidth="1"/>
    <col min="265" max="265" width="8.81640625" style="478" customWidth="1"/>
    <col min="266" max="266" width="0" style="478" hidden="1" customWidth="1"/>
    <col min="267" max="270" width="7.54296875" style="478" customWidth="1"/>
    <col min="271" max="271" width="0" style="478" hidden="1" customWidth="1"/>
    <col min="272" max="512" width="9.1796875" style="478"/>
    <col min="513" max="513" width="5.7265625" style="478" customWidth="1"/>
    <col min="514" max="514" width="24" style="478" customWidth="1"/>
    <col min="515" max="515" width="0" style="478" hidden="1" customWidth="1"/>
    <col min="516" max="516" width="8.26953125" style="478" customWidth="1"/>
    <col min="517" max="517" width="9.1796875" style="478"/>
    <col min="518" max="518" width="7.1796875" style="478" customWidth="1"/>
    <col min="519" max="519" width="0" style="478" hidden="1" customWidth="1"/>
    <col min="520" max="520" width="11.1796875" style="478" customWidth="1"/>
    <col min="521" max="521" width="8.81640625" style="478" customWidth="1"/>
    <col min="522" max="522" width="0" style="478" hidden="1" customWidth="1"/>
    <col min="523" max="526" width="7.54296875" style="478" customWidth="1"/>
    <col min="527" max="527" width="0" style="478" hidden="1" customWidth="1"/>
    <col min="528" max="768" width="9.1796875" style="478"/>
    <col min="769" max="769" width="5.7265625" style="478" customWidth="1"/>
    <col min="770" max="770" width="24" style="478" customWidth="1"/>
    <col min="771" max="771" width="0" style="478" hidden="1" customWidth="1"/>
    <col min="772" max="772" width="8.26953125" style="478" customWidth="1"/>
    <col min="773" max="773" width="9.1796875" style="478"/>
    <col min="774" max="774" width="7.1796875" style="478" customWidth="1"/>
    <col min="775" max="775" width="0" style="478" hidden="1" customWidth="1"/>
    <col min="776" max="776" width="11.1796875" style="478" customWidth="1"/>
    <col min="777" max="777" width="8.81640625" style="478" customWidth="1"/>
    <col min="778" max="778" width="0" style="478" hidden="1" customWidth="1"/>
    <col min="779" max="782" width="7.54296875" style="478" customWidth="1"/>
    <col min="783" max="783" width="0" style="478" hidden="1" customWidth="1"/>
    <col min="784" max="1024" width="9.1796875" style="478"/>
    <col min="1025" max="1025" width="5.7265625" style="478" customWidth="1"/>
    <col min="1026" max="1026" width="24" style="478" customWidth="1"/>
    <col min="1027" max="1027" width="0" style="478" hidden="1" customWidth="1"/>
    <col min="1028" max="1028" width="8.26953125" style="478" customWidth="1"/>
    <col min="1029" max="1029" width="9.1796875" style="478"/>
    <col min="1030" max="1030" width="7.1796875" style="478" customWidth="1"/>
    <col min="1031" max="1031" width="0" style="478" hidden="1" customWidth="1"/>
    <col min="1032" max="1032" width="11.1796875" style="478" customWidth="1"/>
    <col min="1033" max="1033" width="8.81640625" style="478" customWidth="1"/>
    <col min="1034" max="1034" width="0" style="478" hidden="1" customWidth="1"/>
    <col min="1035" max="1038" width="7.54296875" style="478" customWidth="1"/>
    <col min="1039" max="1039" width="0" style="478" hidden="1" customWidth="1"/>
    <col min="1040" max="1280" width="9.1796875" style="478"/>
    <col min="1281" max="1281" width="5.7265625" style="478" customWidth="1"/>
    <col min="1282" max="1282" width="24" style="478" customWidth="1"/>
    <col min="1283" max="1283" width="0" style="478" hidden="1" customWidth="1"/>
    <col min="1284" max="1284" width="8.26953125" style="478" customWidth="1"/>
    <col min="1285" max="1285" width="9.1796875" style="478"/>
    <col min="1286" max="1286" width="7.1796875" style="478" customWidth="1"/>
    <col min="1287" max="1287" width="0" style="478" hidden="1" customWidth="1"/>
    <col min="1288" max="1288" width="11.1796875" style="478" customWidth="1"/>
    <col min="1289" max="1289" width="8.81640625" style="478" customWidth="1"/>
    <col min="1290" max="1290" width="0" style="478" hidden="1" customWidth="1"/>
    <col min="1291" max="1294" width="7.54296875" style="478" customWidth="1"/>
    <col min="1295" max="1295" width="0" style="478" hidden="1" customWidth="1"/>
    <col min="1296" max="1536" width="9.1796875" style="478"/>
    <col min="1537" max="1537" width="5.7265625" style="478" customWidth="1"/>
    <col min="1538" max="1538" width="24" style="478" customWidth="1"/>
    <col min="1539" max="1539" width="0" style="478" hidden="1" customWidth="1"/>
    <col min="1540" max="1540" width="8.26953125" style="478" customWidth="1"/>
    <col min="1541" max="1541" width="9.1796875" style="478"/>
    <col min="1542" max="1542" width="7.1796875" style="478" customWidth="1"/>
    <col min="1543" max="1543" width="0" style="478" hidden="1" customWidth="1"/>
    <col min="1544" max="1544" width="11.1796875" style="478" customWidth="1"/>
    <col min="1545" max="1545" width="8.81640625" style="478" customWidth="1"/>
    <col min="1546" max="1546" width="0" style="478" hidden="1" customWidth="1"/>
    <col min="1547" max="1550" width="7.54296875" style="478" customWidth="1"/>
    <col min="1551" max="1551" width="0" style="478" hidden="1" customWidth="1"/>
    <col min="1552" max="1792" width="9.1796875" style="478"/>
    <col min="1793" max="1793" width="5.7265625" style="478" customWidth="1"/>
    <col min="1794" max="1794" width="24" style="478" customWidth="1"/>
    <col min="1795" max="1795" width="0" style="478" hidden="1" customWidth="1"/>
    <col min="1796" max="1796" width="8.26953125" style="478" customWidth="1"/>
    <col min="1797" max="1797" width="9.1796875" style="478"/>
    <col min="1798" max="1798" width="7.1796875" style="478" customWidth="1"/>
    <col min="1799" max="1799" width="0" style="478" hidden="1" customWidth="1"/>
    <col min="1800" max="1800" width="11.1796875" style="478" customWidth="1"/>
    <col min="1801" max="1801" width="8.81640625" style="478" customWidth="1"/>
    <col min="1802" max="1802" width="0" style="478" hidden="1" customWidth="1"/>
    <col min="1803" max="1806" width="7.54296875" style="478" customWidth="1"/>
    <col min="1807" max="1807" width="0" style="478" hidden="1" customWidth="1"/>
    <col min="1808" max="2048" width="9.1796875" style="478"/>
    <col min="2049" max="2049" width="5.7265625" style="478" customWidth="1"/>
    <col min="2050" max="2050" width="24" style="478" customWidth="1"/>
    <col min="2051" max="2051" width="0" style="478" hidden="1" customWidth="1"/>
    <col min="2052" max="2052" width="8.26953125" style="478" customWidth="1"/>
    <col min="2053" max="2053" width="9.1796875" style="478"/>
    <col min="2054" max="2054" width="7.1796875" style="478" customWidth="1"/>
    <col min="2055" max="2055" width="0" style="478" hidden="1" customWidth="1"/>
    <col min="2056" max="2056" width="11.1796875" style="478" customWidth="1"/>
    <col min="2057" max="2057" width="8.81640625" style="478" customWidth="1"/>
    <col min="2058" max="2058" width="0" style="478" hidden="1" customWidth="1"/>
    <col min="2059" max="2062" width="7.54296875" style="478" customWidth="1"/>
    <col min="2063" max="2063" width="0" style="478" hidden="1" customWidth="1"/>
    <col min="2064" max="2304" width="9.1796875" style="478"/>
    <col min="2305" max="2305" width="5.7265625" style="478" customWidth="1"/>
    <col min="2306" max="2306" width="24" style="478" customWidth="1"/>
    <col min="2307" max="2307" width="0" style="478" hidden="1" customWidth="1"/>
    <col min="2308" max="2308" width="8.26953125" style="478" customWidth="1"/>
    <col min="2309" max="2309" width="9.1796875" style="478"/>
    <col min="2310" max="2310" width="7.1796875" style="478" customWidth="1"/>
    <col min="2311" max="2311" width="0" style="478" hidden="1" customWidth="1"/>
    <col min="2312" max="2312" width="11.1796875" style="478" customWidth="1"/>
    <col min="2313" max="2313" width="8.81640625" style="478" customWidth="1"/>
    <col min="2314" max="2314" width="0" style="478" hidden="1" customWidth="1"/>
    <col min="2315" max="2318" width="7.54296875" style="478" customWidth="1"/>
    <col min="2319" max="2319" width="0" style="478" hidden="1" customWidth="1"/>
    <col min="2320" max="2560" width="9.1796875" style="478"/>
    <col min="2561" max="2561" width="5.7265625" style="478" customWidth="1"/>
    <col min="2562" max="2562" width="24" style="478" customWidth="1"/>
    <col min="2563" max="2563" width="0" style="478" hidden="1" customWidth="1"/>
    <col min="2564" max="2564" width="8.26953125" style="478" customWidth="1"/>
    <col min="2565" max="2565" width="9.1796875" style="478"/>
    <col min="2566" max="2566" width="7.1796875" style="478" customWidth="1"/>
    <col min="2567" max="2567" width="0" style="478" hidden="1" customWidth="1"/>
    <col min="2568" max="2568" width="11.1796875" style="478" customWidth="1"/>
    <col min="2569" max="2569" width="8.81640625" style="478" customWidth="1"/>
    <col min="2570" max="2570" width="0" style="478" hidden="1" customWidth="1"/>
    <col min="2571" max="2574" width="7.54296875" style="478" customWidth="1"/>
    <col min="2575" max="2575" width="0" style="478" hidden="1" customWidth="1"/>
    <col min="2576" max="2816" width="9.1796875" style="478"/>
    <col min="2817" max="2817" width="5.7265625" style="478" customWidth="1"/>
    <col min="2818" max="2818" width="24" style="478" customWidth="1"/>
    <col min="2819" max="2819" width="0" style="478" hidden="1" customWidth="1"/>
    <col min="2820" max="2820" width="8.26953125" style="478" customWidth="1"/>
    <col min="2821" max="2821" width="9.1796875" style="478"/>
    <col min="2822" max="2822" width="7.1796875" style="478" customWidth="1"/>
    <col min="2823" max="2823" width="0" style="478" hidden="1" customWidth="1"/>
    <col min="2824" max="2824" width="11.1796875" style="478" customWidth="1"/>
    <col min="2825" max="2825" width="8.81640625" style="478" customWidth="1"/>
    <col min="2826" max="2826" width="0" style="478" hidden="1" customWidth="1"/>
    <col min="2827" max="2830" width="7.54296875" style="478" customWidth="1"/>
    <col min="2831" max="2831" width="0" style="478" hidden="1" customWidth="1"/>
    <col min="2832" max="3072" width="9.1796875" style="478"/>
    <col min="3073" max="3073" width="5.7265625" style="478" customWidth="1"/>
    <col min="3074" max="3074" width="24" style="478" customWidth="1"/>
    <col min="3075" max="3075" width="0" style="478" hidden="1" customWidth="1"/>
    <col min="3076" max="3076" width="8.26953125" style="478" customWidth="1"/>
    <col min="3077" max="3077" width="9.1796875" style="478"/>
    <col min="3078" max="3078" width="7.1796875" style="478" customWidth="1"/>
    <col min="3079" max="3079" width="0" style="478" hidden="1" customWidth="1"/>
    <col min="3080" max="3080" width="11.1796875" style="478" customWidth="1"/>
    <col min="3081" max="3081" width="8.81640625" style="478" customWidth="1"/>
    <col min="3082" max="3082" width="0" style="478" hidden="1" customWidth="1"/>
    <col min="3083" max="3086" width="7.54296875" style="478" customWidth="1"/>
    <col min="3087" max="3087" width="0" style="478" hidden="1" customWidth="1"/>
    <col min="3088" max="3328" width="9.1796875" style="478"/>
    <col min="3329" max="3329" width="5.7265625" style="478" customWidth="1"/>
    <col min="3330" max="3330" width="24" style="478" customWidth="1"/>
    <col min="3331" max="3331" width="0" style="478" hidden="1" customWidth="1"/>
    <col min="3332" max="3332" width="8.26953125" style="478" customWidth="1"/>
    <col min="3333" max="3333" width="9.1796875" style="478"/>
    <col min="3334" max="3334" width="7.1796875" style="478" customWidth="1"/>
    <col min="3335" max="3335" width="0" style="478" hidden="1" customWidth="1"/>
    <col min="3336" max="3336" width="11.1796875" style="478" customWidth="1"/>
    <col min="3337" max="3337" width="8.81640625" style="478" customWidth="1"/>
    <col min="3338" max="3338" width="0" style="478" hidden="1" customWidth="1"/>
    <col min="3339" max="3342" width="7.54296875" style="478" customWidth="1"/>
    <col min="3343" max="3343" width="0" style="478" hidden="1" customWidth="1"/>
    <col min="3344" max="3584" width="9.1796875" style="478"/>
    <col min="3585" max="3585" width="5.7265625" style="478" customWidth="1"/>
    <col min="3586" max="3586" width="24" style="478" customWidth="1"/>
    <col min="3587" max="3587" width="0" style="478" hidden="1" customWidth="1"/>
    <col min="3588" max="3588" width="8.26953125" style="478" customWidth="1"/>
    <col min="3589" max="3589" width="9.1796875" style="478"/>
    <col min="3590" max="3590" width="7.1796875" style="478" customWidth="1"/>
    <col min="3591" max="3591" width="0" style="478" hidden="1" customWidth="1"/>
    <col min="3592" max="3592" width="11.1796875" style="478" customWidth="1"/>
    <col min="3593" max="3593" width="8.81640625" style="478" customWidth="1"/>
    <col min="3594" max="3594" width="0" style="478" hidden="1" customWidth="1"/>
    <col min="3595" max="3598" width="7.54296875" style="478" customWidth="1"/>
    <col min="3599" max="3599" width="0" style="478" hidden="1" customWidth="1"/>
    <col min="3600" max="3840" width="9.1796875" style="478"/>
    <col min="3841" max="3841" width="5.7265625" style="478" customWidth="1"/>
    <col min="3842" max="3842" width="24" style="478" customWidth="1"/>
    <col min="3843" max="3843" width="0" style="478" hidden="1" customWidth="1"/>
    <col min="3844" max="3844" width="8.26953125" style="478" customWidth="1"/>
    <col min="3845" max="3845" width="9.1796875" style="478"/>
    <col min="3846" max="3846" width="7.1796875" style="478" customWidth="1"/>
    <col min="3847" max="3847" width="0" style="478" hidden="1" customWidth="1"/>
    <col min="3848" max="3848" width="11.1796875" style="478" customWidth="1"/>
    <col min="3849" max="3849" width="8.81640625" style="478" customWidth="1"/>
    <col min="3850" max="3850" width="0" style="478" hidden="1" customWidth="1"/>
    <col min="3851" max="3854" width="7.54296875" style="478" customWidth="1"/>
    <col min="3855" max="3855" width="0" style="478" hidden="1" customWidth="1"/>
    <col min="3856" max="4096" width="9.1796875" style="478"/>
    <col min="4097" max="4097" width="5.7265625" style="478" customWidth="1"/>
    <col min="4098" max="4098" width="24" style="478" customWidth="1"/>
    <col min="4099" max="4099" width="0" style="478" hidden="1" customWidth="1"/>
    <col min="4100" max="4100" width="8.26953125" style="478" customWidth="1"/>
    <col min="4101" max="4101" width="9.1796875" style="478"/>
    <col min="4102" max="4102" width="7.1796875" style="478" customWidth="1"/>
    <col min="4103" max="4103" width="0" style="478" hidden="1" customWidth="1"/>
    <col min="4104" max="4104" width="11.1796875" style="478" customWidth="1"/>
    <col min="4105" max="4105" width="8.81640625" style="478" customWidth="1"/>
    <col min="4106" max="4106" width="0" style="478" hidden="1" customWidth="1"/>
    <col min="4107" max="4110" width="7.54296875" style="478" customWidth="1"/>
    <col min="4111" max="4111" width="0" style="478" hidden="1" customWidth="1"/>
    <col min="4112" max="4352" width="9.1796875" style="478"/>
    <col min="4353" max="4353" width="5.7265625" style="478" customWidth="1"/>
    <col min="4354" max="4354" width="24" style="478" customWidth="1"/>
    <col min="4355" max="4355" width="0" style="478" hidden="1" customWidth="1"/>
    <col min="4356" max="4356" width="8.26953125" style="478" customWidth="1"/>
    <col min="4357" max="4357" width="9.1796875" style="478"/>
    <col min="4358" max="4358" width="7.1796875" style="478" customWidth="1"/>
    <col min="4359" max="4359" width="0" style="478" hidden="1" customWidth="1"/>
    <col min="4360" max="4360" width="11.1796875" style="478" customWidth="1"/>
    <col min="4361" max="4361" width="8.81640625" style="478" customWidth="1"/>
    <col min="4362" max="4362" width="0" style="478" hidden="1" customWidth="1"/>
    <col min="4363" max="4366" width="7.54296875" style="478" customWidth="1"/>
    <col min="4367" max="4367" width="0" style="478" hidden="1" customWidth="1"/>
    <col min="4368" max="4608" width="9.1796875" style="478"/>
    <col min="4609" max="4609" width="5.7265625" style="478" customWidth="1"/>
    <col min="4610" max="4610" width="24" style="478" customWidth="1"/>
    <col min="4611" max="4611" width="0" style="478" hidden="1" customWidth="1"/>
    <col min="4612" max="4612" width="8.26953125" style="478" customWidth="1"/>
    <col min="4613" max="4613" width="9.1796875" style="478"/>
    <col min="4614" max="4614" width="7.1796875" style="478" customWidth="1"/>
    <col min="4615" max="4615" width="0" style="478" hidden="1" customWidth="1"/>
    <col min="4616" max="4616" width="11.1796875" style="478" customWidth="1"/>
    <col min="4617" max="4617" width="8.81640625" style="478" customWidth="1"/>
    <col min="4618" max="4618" width="0" style="478" hidden="1" customWidth="1"/>
    <col min="4619" max="4622" width="7.54296875" style="478" customWidth="1"/>
    <col min="4623" max="4623" width="0" style="478" hidden="1" customWidth="1"/>
    <col min="4624" max="4864" width="9.1796875" style="478"/>
    <col min="4865" max="4865" width="5.7265625" style="478" customWidth="1"/>
    <col min="4866" max="4866" width="24" style="478" customWidth="1"/>
    <col min="4867" max="4867" width="0" style="478" hidden="1" customWidth="1"/>
    <col min="4868" max="4868" width="8.26953125" style="478" customWidth="1"/>
    <col min="4869" max="4869" width="9.1796875" style="478"/>
    <col min="4870" max="4870" width="7.1796875" style="478" customWidth="1"/>
    <col min="4871" max="4871" width="0" style="478" hidden="1" customWidth="1"/>
    <col min="4872" max="4872" width="11.1796875" style="478" customWidth="1"/>
    <col min="4873" max="4873" width="8.81640625" style="478" customWidth="1"/>
    <col min="4874" max="4874" width="0" style="478" hidden="1" customWidth="1"/>
    <col min="4875" max="4878" width="7.54296875" style="478" customWidth="1"/>
    <col min="4879" max="4879" width="0" style="478" hidden="1" customWidth="1"/>
    <col min="4880" max="5120" width="9.1796875" style="478"/>
    <col min="5121" max="5121" width="5.7265625" style="478" customWidth="1"/>
    <col min="5122" max="5122" width="24" style="478" customWidth="1"/>
    <col min="5123" max="5123" width="0" style="478" hidden="1" customWidth="1"/>
    <col min="5124" max="5124" width="8.26953125" style="478" customWidth="1"/>
    <col min="5125" max="5125" width="9.1796875" style="478"/>
    <col min="5126" max="5126" width="7.1796875" style="478" customWidth="1"/>
    <col min="5127" max="5127" width="0" style="478" hidden="1" customWidth="1"/>
    <col min="5128" max="5128" width="11.1796875" style="478" customWidth="1"/>
    <col min="5129" max="5129" width="8.81640625" style="478" customWidth="1"/>
    <col min="5130" max="5130" width="0" style="478" hidden="1" customWidth="1"/>
    <col min="5131" max="5134" width="7.54296875" style="478" customWidth="1"/>
    <col min="5135" max="5135" width="0" style="478" hidden="1" customWidth="1"/>
    <col min="5136" max="5376" width="9.1796875" style="478"/>
    <col min="5377" max="5377" width="5.7265625" style="478" customWidth="1"/>
    <col min="5378" max="5378" width="24" style="478" customWidth="1"/>
    <col min="5379" max="5379" width="0" style="478" hidden="1" customWidth="1"/>
    <col min="5380" max="5380" width="8.26953125" style="478" customWidth="1"/>
    <col min="5381" max="5381" width="9.1796875" style="478"/>
    <col min="5382" max="5382" width="7.1796875" style="478" customWidth="1"/>
    <col min="5383" max="5383" width="0" style="478" hidden="1" customWidth="1"/>
    <col min="5384" max="5384" width="11.1796875" style="478" customWidth="1"/>
    <col min="5385" max="5385" width="8.81640625" style="478" customWidth="1"/>
    <col min="5386" max="5386" width="0" style="478" hidden="1" customWidth="1"/>
    <col min="5387" max="5390" width="7.54296875" style="478" customWidth="1"/>
    <col min="5391" max="5391" width="0" style="478" hidden="1" customWidth="1"/>
    <col min="5392" max="5632" width="9.1796875" style="478"/>
    <col min="5633" max="5633" width="5.7265625" style="478" customWidth="1"/>
    <col min="5634" max="5634" width="24" style="478" customWidth="1"/>
    <col min="5635" max="5635" width="0" style="478" hidden="1" customWidth="1"/>
    <col min="5636" max="5636" width="8.26953125" style="478" customWidth="1"/>
    <col min="5637" max="5637" width="9.1796875" style="478"/>
    <col min="5638" max="5638" width="7.1796875" style="478" customWidth="1"/>
    <col min="5639" max="5639" width="0" style="478" hidden="1" customWidth="1"/>
    <col min="5640" max="5640" width="11.1796875" style="478" customWidth="1"/>
    <col min="5641" max="5641" width="8.81640625" style="478" customWidth="1"/>
    <col min="5642" max="5642" width="0" style="478" hidden="1" customWidth="1"/>
    <col min="5643" max="5646" width="7.54296875" style="478" customWidth="1"/>
    <col min="5647" max="5647" width="0" style="478" hidden="1" customWidth="1"/>
    <col min="5648" max="5888" width="9.1796875" style="478"/>
    <col min="5889" max="5889" width="5.7265625" style="478" customWidth="1"/>
    <col min="5890" max="5890" width="24" style="478" customWidth="1"/>
    <col min="5891" max="5891" width="0" style="478" hidden="1" customWidth="1"/>
    <col min="5892" max="5892" width="8.26953125" style="478" customWidth="1"/>
    <col min="5893" max="5893" width="9.1796875" style="478"/>
    <col min="5894" max="5894" width="7.1796875" style="478" customWidth="1"/>
    <col min="5895" max="5895" width="0" style="478" hidden="1" customWidth="1"/>
    <col min="5896" max="5896" width="11.1796875" style="478" customWidth="1"/>
    <col min="5897" max="5897" width="8.81640625" style="478" customWidth="1"/>
    <col min="5898" max="5898" width="0" style="478" hidden="1" customWidth="1"/>
    <col min="5899" max="5902" width="7.54296875" style="478" customWidth="1"/>
    <col min="5903" max="5903" width="0" style="478" hidden="1" customWidth="1"/>
    <col min="5904" max="6144" width="9.1796875" style="478"/>
    <col min="6145" max="6145" width="5.7265625" style="478" customWidth="1"/>
    <col min="6146" max="6146" width="24" style="478" customWidth="1"/>
    <col min="6147" max="6147" width="0" style="478" hidden="1" customWidth="1"/>
    <col min="6148" max="6148" width="8.26953125" style="478" customWidth="1"/>
    <col min="6149" max="6149" width="9.1796875" style="478"/>
    <col min="6150" max="6150" width="7.1796875" style="478" customWidth="1"/>
    <col min="6151" max="6151" width="0" style="478" hidden="1" customWidth="1"/>
    <col min="6152" max="6152" width="11.1796875" style="478" customWidth="1"/>
    <col min="6153" max="6153" width="8.81640625" style="478" customWidth="1"/>
    <col min="6154" max="6154" width="0" style="478" hidden="1" customWidth="1"/>
    <col min="6155" max="6158" width="7.54296875" style="478" customWidth="1"/>
    <col min="6159" max="6159" width="0" style="478" hidden="1" customWidth="1"/>
    <col min="6160" max="6400" width="9.1796875" style="478"/>
    <col min="6401" max="6401" width="5.7265625" style="478" customWidth="1"/>
    <col min="6402" max="6402" width="24" style="478" customWidth="1"/>
    <col min="6403" max="6403" width="0" style="478" hidden="1" customWidth="1"/>
    <col min="6404" max="6404" width="8.26953125" style="478" customWidth="1"/>
    <col min="6405" max="6405" width="9.1796875" style="478"/>
    <col min="6406" max="6406" width="7.1796875" style="478" customWidth="1"/>
    <col min="6407" max="6407" width="0" style="478" hidden="1" customWidth="1"/>
    <col min="6408" max="6408" width="11.1796875" style="478" customWidth="1"/>
    <col min="6409" max="6409" width="8.81640625" style="478" customWidth="1"/>
    <col min="6410" max="6410" width="0" style="478" hidden="1" customWidth="1"/>
    <col min="6411" max="6414" width="7.54296875" style="478" customWidth="1"/>
    <col min="6415" max="6415" width="0" style="478" hidden="1" customWidth="1"/>
    <col min="6416" max="6656" width="9.1796875" style="478"/>
    <col min="6657" max="6657" width="5.7265625" style="478" customWidth="1"/>
    <col min="6658" max="6658" width="24" style="478" customWidth="1"/>
    <col min="6659" max="6659" width="0" style="478" hidden="1" customWidth="1"/>
    <col min="6660" max="6660" width="8.26953125" style="478" customWidth="1"/>
    <col min="6661" max="6661" width="9.1796875" style="478"/>
    <col min="6662" max="6662" width="7.1796875" style="478" customWidth="1"/>
    <col min="6663" max="6663" width="0" style="478" hidden="1" customWidth="1"/>
    <col min="6664" max="6664" width="11.1796875" style="478" customWidth="1"/>
    <col min="6665" max="6665" width="8.81640625" style="478" customWidth="1"/>
    <col min="6666" max="6666" width="0" style="478" hidden="1" customWidth="1"/>
    <col min="6667" max="6670" width="7.54296875" style="478" customWidth="1"/>
    <col min="6671" max="6671" width="0" style="478" hidden="1" customWidth="1"/>
    <col min="6672" max="6912" width="9.1796875" style="478"/>
    <col min="6913" max="6913" width="5.7265625" style="478" customWidth="1"/>
    <col min="6914" max="6914" width="24" style="478" customWidth="1"/>
    <col min="6915" max="6915" width="0" style="478" hidden="1" customWidth="1"/>
    <col min="6916" max="6916" width="8.26953125" style="478" customWidth="1"/>
    <col min="6917" max="6917" width="9.1796875" style="478"/>
    <col min="6918" max="6918" width="7.1796875" style="478" customWidth="1"/>
    <col min="6919" max="6919" width="0" style="478" hidden="1" customWidth="1"/>
    <col min="6920" max="6920" width="11.1796875" style="478" customWidth="1"/>
    <col min="6921" max="6921" width="8.81640625" style="478" customWidth="1"/>
    <col min="6922" max="6922" width="0" style="478" hidden="1" customWidth="1"/>
    <col min="6923" max="6926" width="7.54296875" style="478" customWidth="1"/>
    <col min="6927" max="6927" width="0" style="478" hidden="1" customWidth="1"/>
    <col min="6928" max="7168" width="9.1796875" style="478"/>
    <col min="7169" max="7169" width="5.7265625" style="478" customWidth="1"/>
    <col min="7170" max="7170" width="24" style="478" customWidth="1"/>
    <col min="7171" max="7171" width="0" style="478" hidden="1" customWidth="1"/>
    <col min="7172" max="7172" width="8.26953125" style="478" customWidth="1"/>
    <col min="7173" max="7173" width="9.1796875" style="478"/>
    <col min="7174" max="7174" width="7.1796875" style="478" customWidth="1"/>
    <col min="7175" max="7175" width="0" style="478" hidden="1" customWidth="1"/>
    <col min="7176" max="7176" width="11.1796875" style="478" customWidth="1"/>
    <col min="7177" max="7177" width="8.81640625" style="478" customWidth="1"/>
    <col min="7178" max="7178" width="0" style="478" hidden="1" customWidth="1"/>
    <col min="7179" max="7182" width="7.54296875" style="478" customWidth="1"/>
    <col min="7183" max="7183" width="0" style="478" hidden="1" customWidth="1"/>
    <col min="7184" max="7424" width="9.1796875" style="478"/>
    <col min="7425" max="7425" width="5.7265625" style="478" customWidth="1"/>
    <col min="7426" max="7426" width="24" style="478" customWidth="1"/>
    <col min="7427" max="7427" width="0" style="478" hidden="1" customWidth="1"/>
    <col min="7428" max="7428" width="8.26953125" style="478" customWidth="1"/>
    <col min="7429" max="7429" width="9.1796875" style="478"/>
    <col min="7430" max="7430" width="7.1796875" style="478" customWidth="1"/>
    <col min="7431" max="7431" width="0" style="478" hidden="1" customWidth="1"/>
    <col min="7432" max="7432" width="11.1796875" style="478" customWidth="1"/>
    <col min="7433" max="7433" width="8.81640625" style="478" customWidth="1"/>
    <col min="7434" max="7434" width="0" style="478" hidden="1" customWidth="1"/>
    <col min="7435" max="7438" width="7.54296875" style="478" customWidth="1"/>
    <col min="7439" max="7439" width="0" style="478" hidden="1" customWidth="1"/>
    <col min="7440" max="7680" width="9.1796875" style="478"/>
    <col min="7681" max="7681" width="5.7265625" style="478" customWidth="1"/>
    <col min="7682" max="7682" width="24" style="478" customWidth="1"/>
    <col min="7683" max="7683" width="0" style="478" hidden="1" customWidth="1"/>
    <col min="7684" max="7684" width="8.26953125" style="478" customWidth="1"/>
    <col min="7685" max="7685" width="9.1796875" style="478"/>
    <col min="7686" max="7686" width="7.1796875" style="478" customWidth="1"/>
    <col min="7687" max="7687" width="0" style="478" hidden="1" customWidth="1"/>
    <col min="7688" max="7688" width="11.1796875" style="478" customWidth="1"/>
    <col min="7689" max="7689" width="8.81640625" style="478" customWidth="1"/>
    <col min="7690" max="7690" width="0" style="478" hidden="1" customWidth="1"/>
    <col min="7691" max="7694" width="7.54296875" style="478" customWidth="1"/>
    <col min="7695" max="7695" width="0" style="478" hidden="1" customWidth="1"/>
    <col min="7696" max="7936" width="9.1796875" style="478"/>
    <col min="7937" max="7937" width="5.7265625" style="478" customWidth="1"/>
    <col min="7938" max="7938" width="24" style="478" customWidth="1"/>
    <col min="7939" max="7939" width="0" style="478" hidden="1" customWidth="1"/>
    <col min="7940" max="7940" width="8.26953125" style="478" customWidth="1"/>
    <col min="7941" max="7941" width="9.1796875" style="478"/>
    <col min="7942" max="7942" width="7.1796875" style="478" customWidth="1"/>
    <col min="7943" max="7943" width="0" style="478" hidden="1" customWidth="1"/>
    <col min="7944" max="7944" width="11.1796875" style="478" customWidth="1"/>
    <col min="7945" max="7945" width="8.81640625" style="478" customWidth="1"/>
    <col min="7946" max="7946" width="0" style="478" hidden="1" customWidth="1"/>
    <col min="7947" max="7950" width="7.54296875" style="478" customWidth="1"/>
    <col min="7951" max="7951" width="0" style="478" hidden="1" customWidth="1"/>
    <col min="7952" max="8192" width="9.1796875" style="478"/>
    <col min="8193" max="8193" width="5.7265625" style="478" customWidth="1"/>
    <col min="8194" max="8194" width="24" style="478" customWidth="1"/>
    <col min="8195" max="8195" width="0" style="478" hidden="1" customWidth="1"/>
    <col min="8196" max="8196" width="8.26953125" style="478" customWidth="1"/>
    <col min="8197" max="8197" width="9.1796875" style="478"/>
    <col min="8198" max="8198" width="7.1796875" style="478" customWidth="1"/>
    <col min="8199" max="8199" width="0" style="478" hidden="1" customWidth="1"/>
    <col min="8200" max="8200" width="11.1796875" style="478" customWidth="1"/>
    <col min="8201" max="8201" width="8.81640625" style="478" customWidth="1"/>
    <col min="8202" max="8202" width="0" style="478" hidden="1" customWidth="1"/>
    <col min="8203" max="8206" width="7.54296875" style="478" customWidth="1"/>
    <col min="8207" max="8207" width="0" style="478" hidden="1" customWidth="1"/>
    <col min="8208" max="8448" width="9.1796875" style="478"/>
    <col min="8449" max="8449" width="5.7265625" style="478" customWidth="1"/>
    <col min="8450" max="8450" width="24" style="478" customWidth="1"/>
    <col min="8451" max="8451" width="0" style="478" hidden="1" customWidth="1"/>
    <col min="8452" max="8452" width="8.26953125" style="478" customWidth="1"/>
    <col min="8453" max="8453" width="9.1796875" style="478"/>
    <col min="8454" max="8454" width="7.1796875" style="478" customWidth="1"/>
    <col min="8455" max="8455" width="0" style="478" hidden="1" customWidth="1"/>
    <col min="8456" max="8456" width="11.1796875" style="478" customWidth="1"/>
    <col min="8457" max="8457" width="8.81640625" style="478" customWidth="1"/>
    <col min="8458" max="8458" width="0" style="478" hidden="1" customWidth="1"/>
    <col min="8459" max="8462" width="7.54296875" style="478" customWidth="1"/>
    <col min="8463" max="8463" width="0" style="478" hidden="1" customWidth="1"/>
    <col min="8464" max="8704" width="9.1796875" style="478"/>
    <col min="8705" max="8705" width="5.7265625" style="478" customWidth="1"/>
    <col min="8706" max="8706" width="24" style="478" customWidth="1"/>
    <col min="8707" max="8707" width="0" style="478" hidden="1" customWidth="1"/>
    <col min="8708" max="8708" width="8.26953125" style="478" customWidth="1"/>
    <col min="8709" max="8709" width="9.1796875" style="478"/>
    <col min="8710" max="8710" width="7.1796875" style="478" customWidth="1"/>
    <col min="8711" max="8711" width="0" style="478" hidden="1" customWidth="1"/>
    <col min="8712" max="8712" width="11.1796875" style="478" customWidth="1"/>
    <col min="8713" max="8713" width="8.81640625" style="478" customWidth="1"/>
    <col min="8714" max="8714" width="0" style="478" hidden="1" customWidth="1"/>
    <col min="8715" max="8718" width="7.54296875" style="478" customWidth="1"/>
    <col min="8719" max="8719" width="0" style="478" hidden="1" customWidth="1"/>
    <col min="8720" max="8960" width="9.1796875" style="478"/>
    <col min="8961" max="8961" width="5.7265625" style="478" customWidth="1"/>
    <col min="8962" max="8962" width="24" style="478" customWidth="1"/>
    <col min="8963" max="8963" width="0" style="478" hidden="1" customWidth="1"/>
    <col min="8964" max="8964" width="8.26953125" style="478" customWidth="1"/>
    <col min="8965" max="8965" width="9.1796875" style="478"/>
    <col min="8966" max="8966" width="7.1796875" style="478" customWidth="1"/>
    <col min="8967" max="8967" width="0" style="478" hidden="1" customWidth="1"/>
    <col min="8968" max="8968" width="11.1796875" style="478" customWidth="1"/>
    <col min="8969" max="8969" width="8.81640625" style="478" customWidth="1"/>
    <col min="8970" max="8970" width="0" style="478" hidden="1" customWidth="1"/>
    <col min="8971" max="8974" width="7.54296875" style="478" customWidth="1"/>
    <col min="8975" max="8975" width="0" style="478" hidden="1" customWidth="1"/>
    <col min="8976" max="9216" width="9.1796875" style="478"/>
    <col min="9217" max="9217" width="5.7265625" style="478" customWidth="1"/>
    <col min="9218" max="9218" width="24" style="478" customWidth="1"/>
    <col min="9219" max="9219" width="0" style="478" hidden="1" customWidth="1"/>
    <col min="9220" max="9220" width="8.26953125" style="478" customWidth="1"/>
    <col min="9221" max="9221" width="9.1796875" style="478"/>
    <col min="9222" max="9222" width="7.1796875" style="478" customWidth="1"/>
    <col min="9223" max="9223" width="0" style="478" hidden="1" customWidth="1"/>
    <col min="9224" max="9224" width="11.1796875" style="478" customWidth="1"/>
    <col min="9225" max="9225" width="8.81640625" style="478" customWidth="1"/>
    <col min="9226" max="9226" width="0" style="478" hidden="1" customWidth="1"/>
    <col min="9227" max="9230" width="7.54296875" style="478" customWidth="1"/>
    <col min="9231" max="9231" width="0" style="478" hidden="1" customWidth="1"/>
    <col min="9232" max="9472" width="9.1796875" style="478"/>
    <col min="9473" max="9473" width="5.7265625" style="478" customWidth="1"/>
    <col min="9474" max="9474" width="24" style="478" customWidth="1"/>
    <col min="9475" max="9475" width="0" style="478" hidden="1" customWidth="1"/>
    <col min="9476" max="9476" width="8.26953125" style="478" customWidth="1"/>
    <col min="9477" max="9477" width="9.1796875" style="478"/>
    <col min="9478" max="9478" width="7.1796875" style="478" customWidth="1"/>
    <col min="9479" max="9479" width="0" style="478" hidden="1" customWidth="1"/>
    <col min="9480" max="9480" width="11.1796875" style="478" customWidth="1"/>
    <col min="9481" max="9481" width="8.81640625" style="478" customWidth="1"/>
    <col min="9482" max="9482" width="0" style="478" hidden="1" customWidth="1"/>
    <col min="9483" max="9486" width="7.54296875" style="478" customWidth="1"/>
    <col min="9487" max="9487" width="0" style="478" hidden="1" customWidth="1"/>
    <col min="9488" max="9728" width="9.1796875" style="478"/>
    <col min="9729" max="9729" width="5.7265625" style="478" customWidth="1"/>
    <col min="9730" max="9730" width="24" style="478" customWidth="1"/>
    <col min="9731" max="9731" width="0" style="478" hidden="1" customWidth="1"/>
    <col min="9732" max="9732" width="8.26953125" style="478" customWidth="1"/>
    <col min="9733" max="9733" width="9.1796875" style="478"/>
    <col min="9734" max="9734" width="7.1796875" style="478" customWidth="1"/>
    <col min="9735" max="9735" width="0" style="478" hidden="1" customWidth="1"/>
    <col min="9736" max="9736" width="11.1796875" style="478" customWidth="1"/>
    <col min="9737" max="9737" width="8.81640625" style="478" customWidth="1"/>
    <col min="9738" max="9738" width="0" style="478" hidden="1" customWidth="1"/>
    <col min="9739" max="9742" width="7.54296875" style="478" customWidth="1"/>
    <col min="9743" max="9743" width="0" style="478" hidden="1" customWidth="1"/>
    <col min="9744" max="9984" width="9.1796875" style="478"/>
    <col min="9985" max="9985" width="5.7265625" style="478" customWidth="1"/>
    <col min="9986" max="9986" width="24" style="478" customWidth="1"/>
    <col min="9987" max="9987" width="0" style="478" hidden="1" customWidth="1"/>
    <col min="9988" max="9988" width="8.26953125" style="478" customWidth="1"/>
    <col min="9989" max="9989" width="9.1796875" style="478"/>
    <col min="9990" max="9990" width="7.1796875" style="478" customWidth="1"/>
    <col min="9991" max="9991" width="0" style="478" hidden="1" customWidth="1"/>
    <col min="9992" max="9992" width="11.1796875" style="478" customWidth="1"/>
    <col min="9993" max="9993" width="8.81640625" style="478" customWidth="1"/>
    <col min="9994" max="9994" width="0" style="478" hidden="1" customWidth="1"/>
    <col min="9995" max="9998" width="7.54296875" style="478" customWidth="1"/>
    <col min="9999" max="9999" width="0" style="478" hidden="1" customWidth="1"/>
    <col min="10000" max="10240" width="9.1796875" style="478"/>
    <col min="10241" max="10241" width="5.7265625" style="478" customWidth="1"/>
    <col min="10242" max="10242" width="24" style="478" customWidth="1"/>
    <col min="10243" max="10243" width="0" style="478" hidden="1" customWidth="1"/>
    <col min="10244" max="10244" width="8.26953125" style="478" customWidth="1"/>
    <col min="10245" max="10245" width="9.1796875" style="478"/>
    <col min="10246" max="10246" width="7.1796875" style="478" customWidth="1"/>
    <col min="10247" max="10247" width="0" style="478" hidden="1" customWidth="1"/>
    <col min="10248" max="10248" width="11.1796875" style="478" customWidth="1"/>
    <col min="10249" max="10249" width="8.81640625" style="478" customWidth="1"/>
    <col min="10250" max="10250" width="0" style="478" hidden="1" customWidth="1"/>
    <col min="10251" max="10254" width="7.54296875" style="478" customWidth="1"/>
    <col min="10255" max="10255" width="0" style="478" hidden="1" customWidth="1"/>
    <col min="10256" max="10496" width="9.1796875" style="478"/>
    <col min="10497" max="10497" width="5.7265625" style="478" customWidth="1"/>
    <col min="10498" max="10498" width="24" style="478" customWidth="1"/>
    <col min="10499" max="10499" width="0" style="478" hidden="1" customWidth="1"/>
    <col min="10500" max="10500" width="8.26953125" style="478" customWidth="1"/>
    <col min="10501" max="10501" width="9.1796875" style="478"/>
    <col min="10502" max="10502" width="7.1796875" style="478" customWidth="1"/>
    <col min="10503" max="10503" width="0" style="478" hidden="1" customWidth="1"/>
    <col min="10504" max="10504" width="11.1796875" style="478" customWidth="1"/>
    <col min="10505" max="10505" width="8.81640625" style="478" customWidth="1"/>
    <col min="10506" max="10506" width="0" style="478" hidden="1" customWidth="1"/>
    <col min="10507" max="10510" width="7.54296875" style="478" customWidth="1"/>
    <col min="10511" max="10511" width="0" style="478" hidden="1" customWidth="1"/>
    <col min="10512" max="10752" width="9.1796875" style="478"/>
    <col min="10753" max="10753" width="5.7265625" style="478" customWidth="1"/>
    <col min="10754" max="10754" width="24" style="478" customWidth="1"/>
    <col min="10755" max="10755" width="0" style="478" hidden="1" customWidth="1"/>
    <col min="10756" max="10756" width="8.26953125" style="478" customWidth="1"/>
    <col min="10757" max="10757" width="9.1796875" style="478"/>
    <col min="10758" max="10758" width="7.1796875" style="478" customWidth="1"/>
    <col min="10759" max="10759" width="0" style="478" hidden="1" customWidth="1"/>
    <col min="10760" max="10760" width="11.1796875" style="478" customWidth="1"/>
    <col min="10761" max="10761" width="8.81640625" style="478" customWidth="1"/>
    <col min="10762" max="10762" width="0" style="478" hidden="1" customWidth="1"/>
    <col min="10763" max="10766" width="7.54296875" style="478" customWidth="1"/>
    <col min="10767" max="10767" width="0" style="478" hidden="1" customWidth="1"/>
    <col min="10768" max="11008" width="9.1796875" style="478"/>
    <col min="11009" max="11009" width="5.7265625" style="478" customWidth="1"/>
    <col min="11010" max="11010" width="24" style="478" customWidth="1"/>
    <col min="11011" max="11011" width="0" style="478" hidden="1" customWidth="1"/>
    <col min="11012" max="11012" width="8.26953125" style="478" customWidth="1"/>
    <col min="11013" max="11013" width="9.1796875" style="478"/>
    <col min="11014" max="11014" width="7.1796875" style="478" customWidth="1"/>
    <col min="11015" max="11015" width="0" style="478" hidden="1" customWidth="1"/>
    <col min="11016" max="11016" width="11.1796875" style="478" customWidth="1"/>
    <col min="11017" max="11017" width="8.81640625" style="478" customWidth="1"/>
    <col min="11018" max="11018" width="0" style="478" hidden="1" customWidth="1"/>
    <col min="11019" max="11022" width="7.54296875" style="478" customWidth="1"/>
    <col min="11023" max="11023" width="0" style="478" hidden="1" customWidth="1"/>
    <col min="11024" max="11264" width="9.1796875" style="478"/>
    <col min="11265" max="11265" width="5.7265625" style="478" customWidth="1"/>
    <col min="11266" max="11266" width="24" style="478" customWidth="1"/>
    <col min="11267" max="11267" width="0" style="478" hidden="1" customWidth="1"/>
    <col min="11268" max="11268" width="8.26953125" style="478" customWidth="1"/>
    <col min="11269" max="11269" width="9.1796875" style="478"/>
    <col min="11270" max="11270" width="7.1796875" style="478" customWidth="1"/>
    <col min="11271" max="11271" width="0" style="478" hidden="1" customWidth="1"/>
    <col min="11272" max="11272" width="11.1796875" style="478" customWidth="1"/>
    <col min="11273" max="11273" width="8.81640625" style="478" customWidth="1"/>
    <col min="11274" max="11274" width="0" style="478" hidden="1" customWidth="1"/>
    <col min="11275" max="11278" width="7.54296875" style="478" customWidth="1"/>
    <col min="11279" max="11279" width="0" style="478" hidden="1" customWidth="1"/>
    <col min="11280" max="11520" width="9.1796875" style="478"/>
    <col min="11521" max="11521" width="5.7265625" style="478" customWidth="1"/>
    <col min="11522" max="11522" width="24" style="478" customWidth="1"/>
    <col min="11523" max="11523" width="0" style="478" hidden="1" customWidth="1"/>
    <col min="11524" max="11524" width="8.26953125" style="478" customWidth="1"/>
    <col min="11525" max="11525" width="9.1796875" style="478"/>
    <col min="11526" max="11526" width="7.1796875" style="478" customWidth="1"/>
    <col min="11527" max="11527" width="0" style="478" hidden="1" customWidth="1"/>
    <col min="11528" max="11528" width="11.1796875" style="478" customWidth="1"/>
    <col min="11529" max="11529" width="8.81640625" style="478" customWidth="1"/>
    <col min="11530" max="11530" width="0" style="478" hidden="1" customWidth="1"/>
    <col min="11531" max="11534" width="7.54296875" style="478" customWidth="1"/>
    <col min="11535" max="11535" width="0" style="478" hidden="1" customWidth="1"/>
    <col min="11536" max="11776" width="9.1796875" style="478"/>
    <col min="11777" max="11777" width="5.7265625" style="478" customWidth="1"/>
    <col min="11778" max="11778" width="24" style="478" customWidth="1"/>
    <col min="11779" max="11779" width="0" style="478" hidden="1" customWidth="1"/>
    <col min="11780" max="11780" width="8.26953125" style="478" customWidth="1"/>
    <col min="11781" max="11781" width="9.1796875" style="478"/>
    <col min="11782" max="11782" width="7.1796875" style="478" customWidth="1"/>
    <col min="11783" max="11783" width="0" style="478" hidden="1" customWidth="1"/>
    <col min="11784" max="11784" width="11.1796875" style="478" customWidth="1"/>
    <col min="11785" max="11785" width="8.81640625" style="478" customWidth="1"/>
    <col min="11786" max="11786" width="0" style="478" hidden="1" customWidth="1"/>
    <col min="11787" max="11790" width="7.54296875" style="478" customWidth="1"/>
    <col min="11791" max="11791" width="0" style="478" hidden="1" customWidth="1"/>
    <col min="11792" max="12032" width="9.1796875" style="478"/>
    <col min="12033" max="12033" width="5.7265625" style="478" customWidth="1"/>
    <col min="12034" max="12034" width="24" style="478" customWidth="1"/>
    <col min="12035" max="12035" width="0" style="478" hidden="1" customWidth="1"/>
    <col min="12036" max="12036" width="8.26953125" style="478" customWidth="1"/>
    <col min="12037" max="12037" width="9.1796875" style="478"/>
    <col min="12038" max="12038" width="7.1796875" style="478" customWidth="1"/>
    <col min="12039" max="12039" width="0" style="478" hidden="1" customWidth="1"/>
    <col min="12040" max="12040" width="11.1796875" style="478" customWidth="1"/>
    <col min="12041" max="12041" width="8.81640625" style="478" customWidth="1"/>
    <col min="12042" max="12042" width="0" style="478" hidden="1" customWidth="1"/>
    <col min="12043" max="12046" width="7.54296875" style="478" customWidth="1"/>
    <col min="12047" max="12047" width="0" style="478" hidden="1" customWidth="1"/>
    <col min="12048" max="12288" width="9.1796875" style="478"/>
    <col min="12289" max="12289" width="5.7265625" style="478" customWidth="1"/>
    <col min="12290" max="12290" width="24" style="478" customWidth="1"/>
    <col min="12291" max="12291" width="0" style="478" hidden="1" customWidth="1"/>
    <col min="12292" max="12292" width="8.26953125" style="478" customWidth="1"/>
    <col min="12293" max="12293" width="9.1796875" style="478"/>
    <col min="12294" max="12294" width="7.1796875" style="478" customWidth="1"/>
    <col min="12295" max="12295" width="0" style="478" hidden="1" customWidth="1"/>
    <col min="12296" max="12296" width="11.1796875" style="478" customWidth="1"/>
    <col min="12297" max="12297" width="8.81640625" style="478" customWidth="1"/>
    <col min="12298" max="12298" width="0" style="478" hidden="1" customWidth="1"/>
    <col min="12299" max="12302" width="7.54296875" style="478" customWidth="1"/>
    <col min="12303" max="12303" width="0" style="478" hidden="1" customWidth="1"/>
    <col min="12304" max="12544" width="9.1796875" style="478"/>
    <col min="12545" max="12545" width="5.7265625" style="478" customWidth="1"/>
    <col min="12546" max="12546" width="24" style="478" customWidth="1"/>
    <col min="12547" max="12547" width="0" style="478" hidden="1" customWidth="1"/>
    <col min="12548" max="12548" width="8.26953125" style="478" customWidth="1"/>
    <col min="12549" max="12549" width="9.1796875" style="478"/>
    <col min="12550" max="12550" width="7.1796875" style="478" customWidth="1"/>
    <col min="12551" max="12551" width="0" style="478" hidden="1" customWidth="1"/>
    <col min="12552" max="12552" width="11.1796875" style="478" customWidth="1"/>
    <col min="12553" max="12553" width="8.81640625" style="478" customWidth="1"/>
    <col min="12554" max="12554" width="0" style="478" hidden="1" customWidth="1"/>
    <col min="12555" max="12558" width="7.54296875" style="478" customWidth="1"/>
    <col min="12559" max="12559" width="0" style="478" hidden="1" customWidth="1"/>
    <col min="12560" max="12800" width="9.1796875" style="478"/>
    <col min="12801" max="12801" width="5.7265625" style="478" customWidth="1"/>
    <col min="12802" max="12802" width="24" style="478" customWidth="1"/>
    <col min="12803" max="12803" width="0" style="478" hidden="1" customWidth="1"/>
    <col min="12804" max="12804" width="8.26953125" style="478" customWidth="1"/>
    <col min="12805" max="12805" width="9.1796875" style="478"/>
    <col min="12806" max="12806" width="7.1796875" style="478" customWidth="1"/>
    <col min="12807" max="12807" width="0" style="478" hidden="1" customWidth="1"/>
    <col min="12808" max="12808" width="11.1796875" style="478" customWidth="1"/>
    <col min="12809" max="12809" width="8.81640625" style="478" customWidth="1"/>
    <col min="12810" max="12810" width="0" style="478" hidden="1" customWidth="1"/>
    <col min="12811" max="12814" width="7.54296875" style="478" customWidth="1"/>
    <col min="12815" max="12815" width="0" style="478" hidden="1" customWidth="1"/>
    <col min="12816" max="13056" width="9.1796875" style="478"/>
    <col min="13057" max="13057" width="5.7265625" style="478" customWidth="1"/>
    <col min="13058" max="13058" width="24" style="478" customWidth="1"/>
    <col min="13059" max="13059" width="0" style="478" hidden="1" customWidth="1"/>
    <col min="13060" max="13060" width="8.26953125" style="478" customWidth="1"/>
    <col min="13061" max="13061" width="9.1796875" style="478"/>
    <col min="13062" max="13062" width="7.1796875" style="478" customWidth="1"/>
    <col min="13063" max="13063" width="0" style="478" hidden="1" customWidth="1"/>
    <col min="13064" max="13064" width="11.1796875" style="478" customWidth="1"/>
    <col min="13065" max="13065" width="8.81640625" style="478" customWidth="1"/>
    <col min="13066" max="13066" width="0" style="478" hidden="1" customWidth="1"/>
    <col min="13067" max="13070" width="7.54296875" style="478" customWidth="1"/>
    <col min="13071" max="13071" width="0" style="478" hidden="1" customWidth="1"/>
    <col min="13072" max="13312" width="9.1796875" style="478"/>
    <col min="13313" max="13313" width="5.7265625" style="478" customWidth="1"/>
    <col min="13314" max="13314" width="24" style="478" customWidth="1"/>
    <col min="13315" max="13315" width="0" style="478" hidden="1" customWidth="1"/>
    <col min="13316" max="13316" width="8.26953125" style="478" customWidth="1"/>
    <col min="13317" max="13317" width="9.1796875" style="478"/>
    <col min="13318" max="13318" width="7.1796875" style="478" customWidth="1"/>
    <col min="13319" max="13319" width="0" style="478" hidden="1" customWidth="1"/>
    <col min="13320" max="13320" width="11.1796875" style="478" customWidth="1"/>
    <col min="13321" max="13321" width="8.81640625" style="478" customWidth="1"/>
    <col min="13322" max="13322" width="0" style="478" hidden="1" customWidth="1"/>
    <col min="13323" max="13326" width="7.54296875" style="478" customWidth="1"/>
    <col min="13327" max="13327" width="0" style="478" hidden="1" customWidth="1"/>
    <col min="13328" max="13568" width="9.1796875" style="478"/>
    <col min="13569" max="13569" width="5.7265625" style="478" customWidth="1"/>
    <col min="13570" max="13570" width="24" style="478" customWidth="1"/>
    <col min="13571" max="13571" width="0" style="478" hidden="1" customWidth="1"/>
    <col min="13572" max="13572" width="8.26953125" style="478" customWidth="1"/>
    <col min="13573" max="13573" width="9.1796875" style="478"/>
    <col min="13574" max="13574" width="7.1796875" style="478" customWidth="1"/>
    <col min="13575" max="13575" width="0" style="478" hidden="1" customWidth="1"/>
    <col min="13576" max="13576" width="11.1796875" style="478" customWidth="1"/>
    <col min="13577" max="13577" width="8.81640625" style="478" customWidth="1"/>
    <col min="13578" max="13578" width="0" style="478" hidden="1" customWidth="1"/>
    <col min="13579" max="13582" width="7.54296875" style="478" customWidth="1"/>
    <col min="13583" max="13583" width="0" style="478" hidden="1" customWidth="1"/>
    <col min="13584" max="13824" width="9.1796875" style="478"/>
    <col min="13825" max="13825" width="5.7265625" style="478" customWidth="1"/>
    <col min="13826" max="13826" width="24" style="478" customWidth="1"/>
    <col min="13827" max="13827" width="0" style="478" hidden="1" customWidth="1"/>
    <col min="13828" max="13828" width="8.26953125" style="478" customWidth="1"/>
    <col min="13829" max="13829" width="9.1796875" style="478"/>
    <col min="13830" max="13830" width="7.1796875" style="478" customWidth="1"/>
    <col min="13831" max="13831" width="0" style="478" hidden="1" customWidth="1"/>
    <col min="13832" max="13832" width="11.1796875" style="478" customWidth="1"/>
    <col min="13833" max="13833" width="8.81640625" style="478" customWidth="1"/>
    <col min="13834" max="13834" width="0" style="478" hidden="1" customWidth="1"/>
    <col min="13835" max="13838" width="7.54296875" style="478" customWidth="1"/>
    <col min="13839" max="13839" width="0" style="478" hidden="1" customWidth="1"/>
    <col min="13840" max="14080" width="9.1796875" style="478"/>
    <col min="14081" max="14081" width="5.7265625" style="478" customWidth="1"/>
    <col min="14082" max="14082" width="24" style="478" customWidth="1"/>
    <col min="14083" max="14083" width="0" style="478" hidden="1" customWidth="1"/>
    <col min="14084" max="14084" width="8.26953125" style="478" customWidth="1"/>
    <col min="14085" max="14085" width="9.1796875" style="478"/>
    <col min="14086" max="14086" width="7.1796875" style="478" customWidth="1"/>
    <col min="14087" max="14087" width="0" style="478" hidden="1" customWidth="1"/>
    <col min="14088" max="14088" width="11.1796875" style="478" customWidth="1"/>
    <col min="14089" max="14089" width="8.81640625" style="478" customWidth="1"/>
    <col min="14090" max="14090" width="0" style="478" hidden="1" customWidth="1"/>
    <col min="14091" max="14094" width="7.54296875" style="478" customWidth="1"/>
    <col min="14095" max="14095" width="0" style="478" hidden="1" customWidth="1"/>
    <col min="14096" max="14336" width="9.1796875" style="478"/>
    <col min="14337" max="14337" width="5.7265625" style="478" customWidth="1"/>
    <col min="14338" max="14338" width="24" style="478" customWidth="1"/>
    <col min="14339" max="14339" width="0" style="478" hidden="1" customWidth="1"/>
    <col min="14340" max="14340" width="8.26953125" style="478" customWidth="1"/>
    <col min="14341" max="14341" width="9.1796875" style="478"/>
    <col min="14342" max="14342" width="7.1796875" style="478" customWidth="1"/>
    <col min="14343" max="14343" width="0" style="478" hidden="1" customWidth="1"/>
    <col min="14344" max="14344" width="11.1796875" style="478" customWidth="1"/>
    <col min="14345" max="14345" width="8.81640625" style="478" customWidth="1"/>
    <col min="14346" max="14346" width="0" style="478" hidden="1" customWidth="1"/>
    <col min="14347" max="14350" width="7.54296875" style="478" customWidth="1"/>
    <col min="14351" max="14351" width="0" style="478" hidden="1" customWidth="1"/>
    <col min="14352" max="14592" width="9.1796875" style="478"/>
    <col min="14593" max="14593" width="5.7265625" style="478" customWidth="1"/>
    <col min="14594" max="14594" width="24" style="478" customWidth="1"/>
    <col min="14595" max="14595" width="0" style="478" hidden="1" customWidth="1"/>
    <col min="14596" max="14596" width="8.26953125" style="478" customWidth="1"/>
    <col min="14597" max="14597" width="9.1796875" style="478"/>
    <col min="14598" max="14598" width="7.1796875" style="478" customWidth="1"/>
    <col min="14599" max="14599" width="0" style="478" hidden="1" customWidth="1"/>
    <col min="14600" max="14600" width="11.1796875" style="478" customWidth="1"/>
    <col min="14601" max="14601" width="8.81640625" style="478" customWidth="1"/>
    <col min="14602" max="14602" width="0" style="478" hidden="1" customWidth="1"/>
    <col min="14603" max="14606" width="7.54296875" style="478" customWidth="1"/>
    <col min="14607" max="14607" width="0" style="478" hidden="1" customWidth="1"/>
    <col min="14608" max="14848" width="9.1796875" style="478"/>
    <col min="14849" max="14849" width="5.7265625" style="478" customWidth="1"/>
    <col min="14850" max="14850" width="24" style="478" customWidth="1"/>
    <col min="14851" max="14851" width="0" style="478" hidden="1" customWidth="1"/>
    <col min="14852" max="14852" width="8.26953125" style="478" customWidth="1"/>
    <col min="14853" max="14853" width="9.1796875" style="478"/>
    <col min="14854" max="14854" width="7.1796875" style="478" customWidth="1"/>
    <col min="14855" max="14855" width="0" style="478" hidden="1" customWidth="1"/>
    <col min="14856" max="14856" width="11.1796875" style="478" customWidth="1"/>
    <col min="14857" max="14857" width="8.81640625" style="478" customWidth="1"/>
    <col min="14858" max="14858" width="0" style="478" hidden="1" customWidth="1"/>
    <col min="14859" max="14862" width="7.54296875" style="478" customWidth="1"/>
    <col min="14863" max="14863" width="0" style="478" hidden="1" customWidth="1"/>
    <col min="14864" max="15104" width="9.1796875" style="478"/>
    <col min="15105" max="15105" width="5.7265625" style="478" customWidth="1"/>
    <col min="15106" max="15106" width="24" style="478" customWidth="1"/>
    <col min="15107" max="15107" width="0" style="478" hidden="1" customWidth="1"/>
    <col min="15108" max="15108" width="8.26953125" style="478" customWidth="1"/>
    <col min="15109" max="15109" width="9.1796875" style="478"/>
    <col min="15110" max="15110" width="7.1796875" style="478" customWidth="1"/>
    <col min="15111" max="15111" width="0" style="478" hidden="1" customWidth="1"/>
    <col min="15112" max="15112" width="11.1796875" style="478" customWidth="1"/>
    <col min="15113" max="15113" width="8.81640625" style="478" customWidth="1"/>
    <col min="15114" max="15114" width="0" style="478" hidden="1" customWidth="1"/>
    <col min="15115" max="15118" width="7.54296875" style="478" customWidth="1"/>
    <col min="15119" max="15119" width="0" style="478" hidden="1" customWidth="1"/>
    <col min="15120" max="15360" width="9.1796875" style="478"/>
    <col min="15361" max="15361" width="5.7265625" style="478" customWidth="1"/>
    <col min="15362" max="15362" width="24" style="478" customWidth="1"/>
    <col min="15363" max="15363" width="0" style="478" hidden="1" customWidth="1"/>
    <col min="15364" max="15364" width="8.26953125" style="478" customWidth="1"/>
    <col min="15365" max="15365" width="9.1796875" style="478"/>
    <col min="15366" max="15366" width="7.1796875" style="478" customWidth="1"/>
    <col min="15367" max="15367" width="0" style="478" hidden="1" customWidth="1"/>
    <col min="15368" max="15368" width="11.1796875" style="478" customWidth="1"/>
    <col min="15369" max="15369" width="8.81640625" style="478" customWidth="1"/>
    <col min="15370" max="15370" width="0" style="478" hidden="1" customWidth="1"/>
    <col min="15371" max="15374" width="7.54296875" style="478" customWidth="1"/>
    <col min="15375" max="15375" width="0" style="478" hidden="1" customWidth="1"/>
    <col min="15376" max="15616" width="9.1796875" style="478"/>
    <col min="15617" max="15617" width="5.7265625" style="478" customWidth="1"/>
    <col min="15618" max="15618" width="24" style="478" customWidth="1"/>
    <col min="15619" max="15619" width="0" style="478" hidden="1" customWidth="1"/>
    <col min="15620" max="15620" width="8.26953125" style="478" customWidth="1"/>
    <col min="15621" max="15621" width="9.1796875" style="478"/>
    <col min="15622" max="15622" width="7.1796875" style="478" customWidth="1"/>
    <col min="15623" max="15623" width="0" style="478" hidden="1" customWidth="1"/>
    <col min="15624" max="15624" width="11.1796875" style="478" customWidth="1"/>
    <col min="15625" max="15625" width="8.81640625" style="478" customWidth="1"/>
    <col min="15626" max="15626" width="0" style="478" hidden="1" customWidth="1"/>
    <col min="15627" max="15630" width="7.54296875" style="478" customWidth="1"/>
    <col min="15631" max="15631" width="0" style="478" hidden="1" customWidth="1"/>
    <col min="15632" max="15872" width="9.1796875" style="478"/>
    <col min="15873" max="15873" width="5.7265625" style="478" customWidth="1"/>
    <col min="15874" max="15874" width="24" style="478" customWidth="1"/>
    <col min="15875" max="15875" width="0" style="478" hidden="1" customWidth="1"/>
    <col min="15876" max="15876" width="8.26953125" style="478" customWidth="1"/>
    <col min="15877" max="15877" width="9.1796875" style="478"/>
    <col min="15878" max="15878" width="7.1796875" style="478" customWidth="1"/>
    <col min="15879" max="15879" width="0" style="478" hidden="1" customWidth="1"/>
    <col min="15880" max="15880" width="11.1796875" style="478" customWidth="1"/>
    <col min="15881" max="15881" width="8.81640625" style="478" customWidth="1"/>
    <col min="15882" max="15882" width="0" style="478" hidden="1" customWidth="1"/>
    <col min="15883" max="15886" width="7.54296875" style="478" customWidth="1"/>
    <col min="15887" max="15887" width="0" style="478" hidden="1" customWidth="1"/>
    <col min="15888" max="16128" width="9.1796875" style="478"/>
    <col min="16129" max="16129" width="5.7265625" style="478" customWidth="1"/>
    <col min="16130" max="16130" width="24" style="478" customWidth="1"/>
    <col min="16131" max="16131" width="0" style="478" hidden="1" customWidth="1"/>
    <col min="16132" max="16132" width="8.26953125" style="478" customWidth="1"/>
    <col min="16133" max="16133" width="9.1796875" style="478"/>
    <col min="16134" max="16134" width="7.1796875" style="478" customWidth="1"/>
    <col min="16135" max="16135" width="0" style="478" hidden="1" customWidth="1"/>
    <col min="16136" max="16136" width="11.1796875" style="478" customWidth="1"/>
    <col min="16137" max="16137" width="8.81640625" style="478" customWidth="1"/>
    <col min="16138" max="16138" width="0" style="478" hidden="1" customWidth="1"/>
    <col min="16139" max="16142" width="7.54296875" style="478" customWidth="1"/>
    <col min="16143" max="16143" width="0" style="478" hidden="1" customWidth="1"/>
    <col min="16144" max="16384" width="9.1796875" style="478"/>
  </cols>
  <sheetData>
    <row r="2" spans="1:16" ht="82.5" customHeight="1" x14ac:dyDescent="0.25">
      <c r="A2" s="453" t="s">
        <v>514</v>
      </c>
      <c r="B2" s="453" t="s">
        <v>451</v>
      </c>
      <c r="C2" s="453" t="s">
        <v>452</v>
      </c>
      <c r="D2" s="453"/>
      <c r="E2" s="453" t="s">
        <v>453</v>
      </c>
      <c r="F2" s="453" t="s">
        <v>454</v>
      </c>
      <c r="G2" s="454" t="s">
        <v>161</v>
      </c>
      <c r="H2" s="455" t="s">
        <v>455</v>
      </c>
      <c r="I2" s="456" t="s">
        <v>513</v>
      </c>
      <c r="J2" s="479">
        <v>2016</v>
      </c>
      <c r="K2" s="479">
        <v>2017</v>
      </c>
      <c r="L2" s="479">
        <v>2018</v>
      </c>
      <c r="M2" s="479">
        <v>2019</v>
      </c>
      <c r="N2" s="479">
        <v>2020</v>
      </c>
      <c r="O2" s="480"/>
      <c r="P2" s="480"/>
    </row>
    <row r="3" spans="1:16" ht="18.75" customHeight="1" x14ac:dyDescent="0.2">
      <c r="A3" s="1629" t="s">
        <v>456</v>
      </c>
      <c r="B3" s="1629"/>
      <c r="C3" s="1629"/>
      <c r="D3" s="1629"/>
      <c r="E3" s="1629"/>
      <c r="F3" s="1629"/>
      <c r="G3" s="1629"/>
      <c r="H3" s="1629"/>
      <c r="I3" s="1630"/>
      <c r="J3" s="503">
        <v>33.029499999999999</v>
      </c>
      <c r="K3" s="481">
        <v>42.737999999999992</v>
      </c>
      <c r="L3" s="481">
        <v>58.816999999999993</v>
      </c>
      <c r="M3" s="481">
        <v>63.935999999999986</v>
      </c>
      <c r="N3" s="481">
        <v>57.59</v>
      </c>
    </row>
    <row r="4" spans="1:16" ht="15" customHeight="1" x14ac:dyDescent="0.2">
      <c r="A4" s="485">
        <v>5</v>
      </c>
      <c r="B4" s="488">
        <v>11112</v>
      </c>
      <c r="C4" s="489" t="s">
        <v>167</v>
      </c>
      <c r="D4" s="490">
        <v>1</v>
      </c>
      <c r="E4" s="491">
        <v>0</v>
      </c>
      <c r="F4" s="492">
        <v>4.1100000000000003</v>
      </c>
      <c r="G4" s="483">
        <v>4.1100000000000003</v>
      </c>
      <c r="H4" s="487" t="s">
        <v>168</v>
      </c>
      <c r="I4" s="472" t="s">
        <v>459</v>
      </c>
      <c r="J4" s="505" t="s">
        <v>352</v>
      </c>
      <c r="K4" s="505"/>
      <c r="L4" s="505"/>
      <c r="M4" s="505"/>
      <c r="N4" s="505"/>
    </row>
    <row r="5" spans="1:16" ht="15" customHeight="1" x14ac:dyDescent="0.2">
      <c r="A5" s="485">
        <v>8</v>
      </c>
      <c r="B5" s="493">
        <v>57</v>
      </c>
      <c r="C5" s="494" t="s">
        <v>169</v>
      </c>
      <c r="D5" s="482">
        <v>1</v>
      </c>
      <c r="E5" s="495">
        <v>39.756999999999998</v>
      </c>
      <c r="F5" s="495">
        <v>42.853999999999999</v>
      </c>
      <c r="G5" s="495">
        <v>3.0970000000000013</v>
      </c>
      <c r="H5" s="482" t="s">
        <v>171</v>
      </c>
      <c r="I5" s="474">
        <v>1018</v>
      </c>
      <c r="J5" s="505" t="s">
        <v>352</v>
      </c>
      <c r="K5" s="505"/>
      <c r="L5" s="505"/>
      <c r="M5" s="505"/>
      <c r="N5" s="505"/>
    </row>
    <row r="6" spans="1:16" ht="15" customHeight="1" x14ac:dyDescent="0.2">
      <c r="A6" s="485">
        <v>12</v>
      </c>
      <c r="B6" s="486">
        <v>21</v>
      </c>
      <c r="C6" s="484" t="s">
        <v>175</v>
      </c>
      <c r="D6" s="487">
        <v>1</v>
      </c>
      <c r="E6" s="483">
        <v>62.1</v>
      </c>
      <c r="F6" s="483">
        <v>69.688000000000002</v>
      </c>
      <c r="G6" s="483">
        <v>7.588000000000001</v>
      </c>
      <c r="H6" s="487" t="s">
        <v>176</v>
      </c>
      <c r="I6" s="473">
        <v>731</v>
      </c>
      <c r="J6" s="507" t="s">
        <v>352</v>
      </c>
      <c r="K6" s="507"/>
      <c r="L6" s="507"/>
      <c r="M6" s="507"/>
      <c r="N6" s="507"/>
    </row>
    <row r="7" spans="1:16" ht="15" customHeight="1" x14ac:dyDescent="0.2">
      <c r="A7" s="485">
        <v>22</v>
      </c>
      <c r="B7" s="488">
        <v>93</v>
      </c>
      <c r="C7" s="489" t="s">
        <v>182</v>
      </c>
      <c r="D7" s="490">
        <v>1</v>
      </c>
      <c r="E7" s="491">
        <v>14.361000000000001</v>
      </c>
      <c r="F7" s="491">
        <v>18.661999999999999</v>
      </c>
      <c r="G7" s="483">
        <v>4.3009999999999984</v>
      </c>
      <c r="H7" s="487" t="s">
        <v>164</v>
      </c>
      <c r="I7" s="472" t="s">
        <v>463</v>
      </c>
      <c r="J7" s="505" t="s">
        <v>352</v>
      </c>
      <c r="K7" s="505"/>
      <c r="L7" s="505"/>
      <c r="M7" s="505"/>
      <c r="N7" s="505"/>
    </row>
    <row r="8" spans="1:16" ht="15" customHeight="1" x14ac:dyDescent="0.2">
      <c r="A8" s="485">
        <v>28</v>
      </c>
      <c r="B8" s="493">
        <v>81</v>
      </c>
      <c r="C8" s="494" t="s">
        <v>189</v>
      </c>
      <c r="D8" s="482">
        <v>1</v>
      </c>
      <c r="E8" s="495">
        <v>11.414999999999999</v>
      </c>
      <c r="F8" s="495">
        <v>16.914999999999999</v>
      </c>
      <c r="G8" s="495">
        <v>5.5</v>
      </c>
      <c r="H8" s="482" t="s">
        <v>190</v>
      </c>
      <c r="I8" s="474">
        <v>823</v>
      </c>
      <c r="J8" s="505" t="s">
        <v>352</v>
      </c>
      <c r="K8" s="505"/>
      <c r="L8" s="505"/>
      <c r="M8" s="505"/>
      <c r="N8" s="505"/>
    </row>
    <row r="9" spans="1:16" ht="15" customHeight="1" x14ac:dyDescent="0.2">
      <c r="A9" s="485">
        <v>58</v>
      </c>
      <c r="B9" s="493">
        <v>89</v>
      </c>
      <c r="C9" s="494" t="s">
        <v>207</v>
      </c>
      <c r="D9" s="482">
        <v>1</v>
      </c>
      <c r="E9" s="495">
        <v>0</v>
      </c>
      <c r="F9" s="495">
        <v>9.1</v>
      </c>
      <c r="G9" s="495">
        <f>F9-E9</f>
        <v>9.1</v>
      </c>
      <c r="H9" s="482" t="s">
        <v>184</v>
      </c>
      <c r="I9" s="474">
        <v>990</v>
      </c>
      <c r="J9" s="505" t="s">
        <v>352</v>
      </c>
      <c r="K9" s="505"/>
      <c r="L9" s="505"/>
      <c r="M9" s="505"/>
      <c r="N9" s="505"/>
    </row>
    <row r="10" spans="1:16" ht="15" customHeight="1" x14ac:dyDescent="0.2">
      <c r="A10" s="485">
        <v>67</v>
      </c>
      <c r="B10" s="493">
        <v>43</v>
      </c>
      <c r="C10" s="494" t="s">
        <v>214</v>
      </c>
      <c r="D10" s="482">
        <v>1</v>
      </c>
      <c r="E10" s="495">
        <v>20.87</v>
      </c>
      <c r="F10" s="495">
        <v>30.739000000000001</v>
      </c>
      <c r="G10" s="495">
        <v>9.8689999999999998</v>
      </c>
      <c r="H10" s="482" t="s">
        <v>166</v>
      </c>
      <c r="I10" s="475" t="s">
        <v>476</v>
      </c>
      <c r="J10" s="505" t="s">
        <v>352</v>
      </c>
      <c r="K10" s="505"/>
      <c r="L10" s="505"/>
      <c r="M10" s="505"/>
      <c r="N10" s="505"/>
    </row>
    <row r="11" spans="1:16" ht="15" customHeight="1" x14ac:dyDescent="0.2">
      <c r="A11" s="485">
        <v>77</v>
      </c>
      <c r="B11" s="486">
        <v>13126</v>
      </c>
      <c r="C11" s="484" t="s">
        <v>222</v>
      </c>
      <c r="D11" s="487">
        <v>1</v>
      </c>
      <c r="E11" s="483">
        <v>3.5</v>
      </c>
      <c r="F11" s="483">
        <v>10</v>
      </c>
      <c r="G11" s="483">
        <v>6.5</v>
      </c>
      <c r="H11" s="487" t="s">
        <v>164</v>
      </c>
      <c r="I11" s="471" t="s">
        <v>481</v>
      </c>
      <c r="J11" s="507" t="s">
        <v>352</v>
      </c>
      <c r="K11" s="507"/>
      <c r="L11" s="507"/>
      <c r="M11" s="507"/>
      <c r="N11" s="507"/>
    </row>
    <row r="12" spans="1:16" ht="15" customHeight="1" x14ac:dyDescent="0.2">
      <c r="A12" s="482">
        <v>86</v>
      </c>
      <c r="B12" s="486">
        <v>20145</v>
      </c>
      <c r="C12" s="484" t="s">
        <v>226</v>
      </c>
      <c r="D12" s="487">
        <v>1</v>
      </c>
      <c r="E12" s="483">
        <v>0</v>
      </c>
      <c r="F12" s="483">
        <v>2.8220000000000001</v>
      </c>
      <c r="G12" s="483">
        <v>2.8220000000000001</v>
      </c>
      <c r="H12" s="487" t="s">
        <v>212</v>
      </c>
      <c r="I12" s="473">
        <v>1183</v>
      </c>
      <c r="J12" s="507" t="s">
        <v>352</v>
      </c>
      <c r="K12" s="507"/>
      <c r="L12" s="507"/>
      <c r="M12" s="507"/>
      <c r="N12" s="507"/>
    </row>
    <row r="13" spans="1:16" ht="15" customHeight="1" x14ac:dyDescent="0.2">
      <c r="A13" s="485">
        <v>111</v>
      </c>
      <c r="B13" s="488">
        <v>20142</v>
      </c>
      <c r="C13" s="489" t="s">
        <v>238</v>
      </c>
      <c r="D13" s="490">
        <v>1</v>
      </c>
      <c r="E13" s="491">
        <v>0</v>
      </c>
      <c r="F13" s="492">
        <v>0.70199999999999996</v>
      </c>
      <c r="G13" s="483">
        <v>0.70199999999999996</v>
      </c>
      <c r="H13" s="487" t="s">
        <v>212</v>
      </c>
      <c r="I13" s="476">
        <v>912</v>
      </c>
      <c r="J13" s="505" t="s">
        <v>352</v>
      </c>
      <c r="K13" s="505"/>
      <c r="L13" s="505"/>
      <c r="M13" s="505"/>
      <c r="N13" s="505"/>
    </row>
    <row r="14" spans="1:16" ht="15" customHeight="1" x14ac:dyDescent="0.2">
      <c r="A14" s="485">
        <v>187</v>
      </c>
      <c r="B14" s="488">
        <v>20141</v>
      </c>
      <c r="C14" s="489" t="s">
        <v>269</v>
      </c>
      <c r="D14" s="490">
        <v>1</v>
      </c>
      <c r="E14" s="491">
        <v>0</v>
      </c>
      <c r="F14" s="491">
        <v>2.56</v>
      </c>
      <c r="G14" s="483">
        <v>2.56</v>
      </c>
      <c r="H14" s="487" t="s">
        <v>212</v>
      </c>
      <c r="I14" s="477" t="s">
        <v>508</v>
      </c>
      <c r="J14" s="505" t="s">
        <v>352</v>
      </c>
      <c r="K14" s="505"/>
      <c r="L14" s="505"/>
      <c r="M14" s="505"/>
      <c r="N14" s="505"/>
    </row>
    <row r="15" spans="1:16" ht="15" customHeight="1" x14ac:dyDescent="0.2">
      <c r="A15" s="485">
        <v>197</v>
      </c>
      <c r="B15" s="486">
        <v>11390</v>
      </c>
      <c r="C15" s="484" t="s">
        <v>270</v>
      </c>
      <c r="D15" s="487">
        <v>1</v>
      </c>
      <c r="E15" s="483">
        <v>26.667999999999999</v>
      </c>
      <c r="F15" s="483">
        <v>36.741</v>
      </c>
      <c r="G15" s="483">
        <v>10.073</v>
      </c>
      <c r="H15" s="487" t="s">
        <v>168</v>
      </c>
      <c r="I15" s="471" t="s">
        <v>509</v>
      </c>
      <c r="J15" s="507" t="s">
        <v>352</v>
      </c>
      <c r="K15" s="507"/>
      <c r="L15" s="507"/>
      <c r="M15" s="507"/>
      <c r="N15" s="507"/>
    </row>
    <row r="16" spans="1:16" ht="15" customHeight="1" x14ac:dyDescent="0.35">
      <c r="A16" s="485">
        <v>229</v>
      </c>
      <c r="B16" s="488">
        <v>15</v>
      </c>
      <c r="C16" s="489" t="s">
        <v>264</v>
      </c>
      <c r="D16" s="490">
        <v>1</v>
      </c>
      <c r="E16" s="491">
        <v>51.484000000000002</v>
      </c>
      <c r="F16" s="491">
        <v>59.585000000000001</v>
      </c>
      <c r="G16" s="483">
        <v>8.1009999999999991</v>
      </c>
      <c r="H16" s="487" t="s">
        <v>212</v>
      </c>
      <c r="I16" s="477" t="s">
        <v>511</v>
      </c>
      <c r="J16" s="505" t="s">
        <v>352</v>
      </c>
      <c r="K16" s="505"/>
      <c r="L16" s="505"/>
      <c r="M16" s="505"/>
      <c r="N16" s="505"/>
      <c r="O16" s="543" t="s">
        <v>520</v>
      </c>
    </row>
    <row r="17" spans="1:15" ht="15" customHeight="1" x14ac:dyDescent="0.2">
      <c r="A17" s="482">
        <v>170</v>
      </c>
      <c r="B17" s="486">
        <v>15</v>
      </c>
      <c r="C17" s="484" t="s">
        <v>264</v>
      </c>
      <c r="D17" s="487">
        <v>1</v>
      </c>
      <c r="E17" s="483">
        <v>70.569000000000003</v>
      </c>
      <c r="F17" s="483">
        <v>78.927000000000007</v>
      </c>
      <c r="G17" s="483">
        <v>8.3580000000000041</v>
      </c>
      <c r="H17" s="487" t="s">
        <v>212</v>
      </c>
      <c r="I17" s="473">
        <v>1940</v>
      </c>
      <c r="J17" s="507"/>
      <c r="K17" s="507"/>
      <c r="L17" s="507" t="s">
        <v>352</v>
      </c>
      <c r="M17" s="507"/>
      <c r="N17" s="507"/>
    </row>
    <row r="18" spans="1:15" ht="15" customHeight="1" x14ac:dyDescent="0.2">
      <c r="A18" s="482"/>
      <c r="B18" s="493">
        <v>21144</v>
      </c>
      <c r="C18" s="497" t="s">
        <v>273</v>
      </c>
      <c r="D18" s="487">
        <v>1</v>
      </c>
      <c r="E18" s="495">
        <v>0</v>
      </c>
      <c r="F18" s="495">
        <v>1.7689999999999999</v>
      </c>
      <c r="G18" s="495">
        <v>1.7689999999999999</v>
      </c>
      <c r="H18" s="482" t="s">
        <v>241</v>
      </c>
      <c r="I18" s="498">
        <v>195</v>
      </c>
      <c r="J18" s="507" t="s">
        <v>352</v>
      </c>
      <c r="K18" s="507"/>
      <c r="L18" s="507"/>
      <c r="M18" s="507"/>
      <c r="N18" s="507"/>
    </row>
    <row r="19" spans="1:15" ht="15" customHeight="1" x14ac:dyDescent="0.2">
      <c r="A19" s="482"/>
      <c r="B19" s="493">
        <v>6</v>
      </c>
      <c r="C19" s="494" t="s">
        <v>200</v>
      </c>
      <c r="D19" s="482">
        <v>1</v>
      </c>
      <c r="E19" s="495">
        <v>82.792000000000002</v>
      </c>
      <c r="F19" s="495">
        <v>93.977999999999994</v>
      </c>
      <c r="G19" s="495">
        <v>11.185999999999993</v>
      </c>
      <c r="H19" s="470" t="s">
        <v>259</v>
      </c>
      <c r="I19" s="475" t="s">
        <v>512</v>
      </c>
      <c r="J19" s="505" t="s">
        <v>352</v>
      </c>
      <c r="K19" s="505"/>
      <c r="L19" s="505"/>
      <c r="M19" s="505"/>
      <c r="N19" s="505"/>
    </row>
    <row r="20" spans="1:15" ht="15" customHeight="1" x14ac:dyDescent="0.2">
      <c r="A20" s="482">
        <v>114</v>
      </c>
      <c r="B20" s="493">
        <v>10</v>
      </c>
      <c r="C20" s="494" t="s">
        <v>225</v>
      </c>
      <c r="D20" s="482">
        <v>1</v>
      </c>
      <c r="E20" s="495">
        <v>129.208</v>
      </c>
      <c r="F20" s="495">
        <v>141.4</v>
      </c>
      <c r="G20" s="495">
        <v>12.192000000000007</v>
      </c>
      <c r="H20" s="482" t="s">
        <v>241</v>
      </c>
      <c r="I20" s="474">
        <v>2689</v>
      </c>
      <c r="J20" s="507" t="s">
        <v>352</v>
      </c>
      <c r="K20" s="507" t="s">
        <v>352</v>
      </c>
      <c r="L20" s="507"/>
      <c r="M20" s="507"/>
      <c r="N20" s="507"/>
      <c r="O20" s="564"/>
    </row>
    <row r="21" spans="1:15" ht="15" customHeight="1" x14ac:dyDescent="0.35">
      <c r="A21" s="485">
        <v>105</v>
      </c>
      <c r="B21" s="486">
        <v>27</v>
      </c>
      <c r="C21" s="539" t="s">
        <v>235</v>
      </c>
      <c r="D21" s="487">
        <v>1</v>
      </c>
      <c r="E21" s="483">
        <v>26.495000000000001</v>
      </c>
      <c r="F21" s="483">
        <v>32.868000000000002</v>
      </c>
      <c r="G21" s="483">
        <v>6.3730000000000011</v>
      </c>
      <c r="H21" s="487" t="s">
        <v>212</v>
      </c>
      <c r="I21" s="473">
        <v>577</v>
      </c>
      <c r="J21" s="507" t="s">
        <v>352</v>
      </c>
      <c r="K21" s="507" t="s">
        <v>352</v>
      </c>
      <c r="L21" s="507"/>
      <c r="M21" s="507"/>
      <c r="N21" s="507"/>
      <c r="O21" s="568" t="s">
        <v>521</v>
      </c>
    </row>
    <row r="22" spans="1:15" ht="10" x14ac:dyDescent="0.2">
      <c r="A22" s="485"/>
      <c r="B22" s="486">
        <v>27</v>
      </c>
      <c r="C22" s="539" t="s">
        <v>235</v>
      </c>
      <c r="D22" s="487">
        <v>1</v>
      </c>
      <c r="E22" s="483">
        <v>16.393999999999998</v>
      </c>
      <c r="F22" s="483">
        <v>19.013000000000002</v>
      </c>
      <c r="G22" s="483">
        <f>F22-E22</f>
        <v>2.6190000000000033</v>
      </c>
      <c r="H22" s="487" t="s">
        <v>212</v>
      </c>
      <c r="I22" s="496">
        <v>577</v>
      </c>
      <c r="J22" s="507"/>
      <c r="K22" s="507" t="s">
        <v>352</v>
      </c>
      <c r="L22" s="507"/>
      <c r="M22" s="507"/>
      <c r="N22" s="507"/>
    </row>
    <row r="23" spans="1:15" ht="15" customHeight="1" x14ac:dyDescent="0.2">
      <c r="A23" s="485">
        <v>129</v>
      </c>
      <c r="B23" s="493">
        <v>52</v>
      </c>
      <c r="C23" s="494" t="s">
        <v>249</v>
      </c>
      <c r="D23" s="482">
        <v>1</v>
      </c>
      <c r="E23" s="495">
        <v>0.1</v>
      </c>
      <c r="F23" s="495">
        <v>11.59</v>
      </c>
      <c r="G23" s="495">
        <v>11.49</v>
      </c>
      <c r="H23" s="482" t="s">
        <v>178</v>
      </c>
      <c r="I23" s="475" t="s">
        <v>497</v>
      </c>
      <c r="J23" s="505" t="s">
        <v>352</v>
      </c>
      <c r="K23" s="505" t="s">
        <v>352</v>
      </c>
      <c r="L23" s="505" t="s">
        <v>352</v>
      </c>
      <c r="M23" s="505"/>
      <c r="N23" s="505"/>
    </row>
    <row r="24" spans="1:15" ht="15" customHeight="1" x14ac:dyDescent="0.35">
      <c r="A24" s="485">
        <v>3</v>
      </c>
      <c r="B24" s="486">
        <v>13103</v>
      </c>
      <c r="C24" s="539" t="s">
        <v>163</v>
      </c>
      <c r="D24" s="487">
        <v>1</v>
      </c>
      <c r="E24" s="508">
        <v>3.9369999999999998</v>
      </c>
      <c r="F24" s="483">
        <v>5.9039999999999999</v>
      </c>
      <c r="G24" s="483">
        <v>1.9670000000000001</v>
      </c>
      <c r="H24" s="487" t="s">
        <v>164</v>
      </c>
      <c r="I24" s="471">
        <v>997</v>
      </c>
      <c r="J24" s="507"/>
      <c r="K24" s="507" t="s">
        <v>352</v>
      </c>
      <c r="L24" s="507"/>
      <c r="M24" s="507"/>
      <c r="N24" s="507"/>
      <c r="O24" s="544" t="s">
        <v>522</v>
      </c>
    </row>
    <row r="25" spans="1:15" ht="15" customHeight="1" x14ac:dyDescent="0.2">
      <c r="A25" s="485">
        <v>6</v>
      </c>
      <c r="B25" s="486">
        <v>13103</v>
      </c>
      <c r="C25" s="539" t="s">
        <v>163</v>
      </c>
      <c r="D25" s="487">
        <v>1</v>
      </c>
      <c r="E25" s="483">
        <v>0</v>
      </c>
      <c r="F25" s="508">
        <v>3.5329999999999999</v>
      </c>
      <c r="G25" s="483">
        <v>3.5329999999999999</v>
      </c>
      <c r="H25" s="487" t="s">
        <v>164</v>
      </c>
      <c r="I25" s="473">
        <v>1053</v>
      </c>
      <c r="J25" s="507"/>
      <c r="K25" s="507" t="s">
        <v>352</v>
      </c>
      <c r="L25" s="507"/>
      <c r="M25" s="507"/>
      <c r="N25" s="507"/>
    </row>
    <row r="26" spans="1:15" ht="15" customHeight="1" x14ac:dyDescent="0.2">
      <c r="A26" s="485">
        <v>9</v>
      </c>
      <c r="B26" s="486">
        <v>13147</v>
      </c>
      <c r="C26" s="484" t="s">
        <v>172</v>
      </c>
      <c r="D26" s="487">
        <v>1</v>
      </c>
      <c r="E26" s="483">
        <v>0</v>
      </c>
      <c r="F26" s="483">
        <v>3.532</v>
      </c>
      <c r="G26" s="483">
        <v>3.532</v>
      </c>
      <c r="H26" s="487" t="s">
        <v>164</v>
      </c>
      <c r="I26" s="471" t="s">
        <v>460</v>
      </c>
      <c r="J26" s="507"/>
      <c r="K26" s="507" t="s">
        <v>352</v>
      </c>
      <c r="L26" s="507"/>
      <c r="M26" s="507"/>
      <c r="N26" s="507"/>
    </row>
    <row r="27" spans="1:15" ht="15" customHeight="1" x14ac:dyDescent="0.2">
      <c r="A27" s="485">
        <v>11</v>
      </c>
      <c r="B27" s="486">
        <v>13102</v>
      </c>
      <c r="C27" s="484" t="s">
        <v>174</v>
      </c>
      <c r="D27" s="487">
        <v>1</v>
      </c>
      <c r="E27" s="483">
        <v>4.6150000000000002</v>
      </c>
      <c r="F27" s="483">
        <v>7.1870000000000003</v>
      </c>
      <c r="G27" s="483">
        <v>2.5720000000000001</v>
      </c>
      <c r="H27" s="487" t="s">
        <v>164</v>
      </c>
      <c r="I27" s="473">
        <v>1264</v>
      </c>
      <c r="J27" s="507"/>
      <c r="K27" s="507" t="s">
        <v>352</v>
      </c>
      <c r="L27" s="507"/>
      <c r="M27" s="507"/>
      <c r="N27" s="507"/>
    </row>
    <row r="28" spans="1:15" ht="15" customHeight="1" x14ac:dyDescent="0.2">
      <c r="A28" s="485">
        <v>17</v>
      </c>
      <c r="B28" s="486">
        <v>35</v>
      </c>
      <c r="C28" s="484" t="s">
        <v>179</v>
      </c>
      <c r="D28" s="487">
        <v>1</v>
      </c>
      <c r="E28" s="483">
        <v>0.8</v>
      </c>
      <c r="F28" s="483">
        <v>28.417000000000002</v>
      </c>
      <c r="G28" s="483">
        <v>27.617000000000001</v>
      </c>
      <c r="H28" s="487" t="s">
        <v>164</v>
      </c>
      <c r="I28" s="473">
        <v>789</v>
      </c>
      <c r="J28" s="507"/>
      <c r="K28" s="507" t="s">
        <v>352</v>
      </c>
      <c r="L28" s="507" t="s">
        <v>352</v>
      </c>
      <c r="M28" s="507"/>
      <c r="N28" s="507"/>
    </row>
    <row r="29" spans="1:15" ht="15" customHeight="1" x14ac:dyDescent="0.2">
      <c r="A29" s="485">
        <v>18</v>
      </c>
      <c r="B29" s="486">
        <v>11392</v>
      </c>
      <c r="C29" s="484" t="s">
        <v>180</v>
      </c>
      <c r="D29" s="487">
        <v>1</v>
      </c>
      <c r="E29" s="483">
        <v>0</v>
      </c>
      <c r="F29" s="483">
        <v>4.7050000000000001</v>
      </c>
      <c r="G29" s="483">
        <v>4.7050000000000001</v>
      </c>
      <c r="H29" s="487" t="s">
        <v>168</v>
      </c>
      <c r="I29" s="471" t="s">
        <v>462</v>
      </c>
      <c r="J29" s="507"/>
      <c r="K29" s="507" t="s">
        <v>352</v>
      </c>
      <c r="L29" s="507"/>
      <c r="M29" s="507"/>
      <c r="N29" s="507"/>
    </row>
    <row r="30" spans="1:15" ht="15" customHeight="1" x14ac:dyDescent="0.2">
      <c r="A30" s="485">
        <v>26</v>
      </c>
      <c r="B30" s="493">
        <v>22103</v>
      </c>
      <c r="C30" s="494" t="s">
        <v>186</v>
      </c>
      <c r="D30" s="482">
        <v>1</v>
      </c>
      <c r="E30" s="495">
        <v>4.2</v>
      </c>
      <c r="F30" s="495">
        <v>7.3319999999999999</v>
      </c>
      <c r="G30" s="495">
        <v>3.1319999999999997</v>
      </c>
      <c r="H30" s="482" t="s">
        <v>166</v>
      </c>
      <c r="I30" s="475" t="s">
        <v>465</v>
      </c>
      <c r="J30" s="505"/>
      <c r="K30" s="505" t="s">
        <v>352</v>
      </c>
      <c r="L30" s="505"/>
      <c r="M30" s="505"/>
      <c r="N30" s="505"/>
    </row>
    <row r="31" spans="1:15" ht="15" customHeight="1" x14ac:dyDescent="0.2">
      <c r="A31" s="485">
        <v>27</v>
      </c>
      <c r="B31" s="486">
        <v>11125</v>
      </c>
      <c r="C31" s="484" t="s">
        <v>187</v>
      </c>
      <c r="D31" s="487">
        <v>1</v>
      </c>
      <c r="E31" s="483">
        <v>24.119</v>
      </c>
      <c r="F31" s="483">
        <v>28.224</v>
      </c>
      <c r="G31" s="483">
        <v>4.1050000000000004</v>
      </c>
      <c r="H31" s="487" t="s">
        <v>188</v>
      </c>
      <c r="I31" s="471" t="s">
        <v>466</v>
      </c>
      <c r="J31" s="507"/>
      <c r="K31" s="507" t="s">
        <v>352</v>
      </c>
      <c r="L31" s="507"/>
      <c r="M31" s="507"/>
      <c r="N31" s="507"/>
    </row>
    <row r="32" spans="1:15" ht="15" customHeight="1" x14ac:dyDescent="0.2">
      <c r="A32" s="485">
        <v>38</v>
      </c>
      <c r="B32" s="493">
        <v>59</v>
      </c>
      <c r="C32" s="494" t="s">
        <v>185</v>
      </c>
      <c r="D32" s="482">
        <v>1</v>
      </c>
      <c r="E32" s="495">
        <v>5.9930000000000003</v>
      </c>
      <c r="F32" s="495">
        <v>12.1</v>
      </c>
      <c r="G32" s="495">
        <v>6.1069999999999993</v>
      </c>
      <c r="H32" s="482" t="s">
        <v>171</v>
      </c>
      <c r="I32" s="475" t="s">
        <v>469</v>
      </c>
      <c r="J32" s="505"/>
      <c r="K32" s="505" t="s">
        <v>352</v>
      </c>
      <c r="L32" s="505"/>
      <c r="M32" s="505"/>
      <c r="N32" s="505"/>
    </row>
    <row r="33" spans="1:15" ht="15" customHeight="1" x14ac:dyDescent="0.2">
      <c r="A33" s="485">
        <v>59</v>
      </c>
      <c r="B33" s="493">
        <v>61</v>
      </c>
      <c r="C33" s="494" t="s">
        <v>208</v>
      </c>
      <c r="D33" s="482">
        <v>1</v>
      </c>
      <c r="E33" s="495">
        <v>16.920000000000002</v>
      </c>
      <c r="F33" s="495">
        <v>22.151</v>
      </c>
      <c r="G33" s="495">
        <v>5.2309999999999981</v>
      </c>
      <c r="H33" s="482" t="s">
        <v>184</v>
      </c>
      <c r="I33" s="474">
        <v>2483</v>
      </c>
      <c r="J33" s="505"/>
      <c r="K33" s="505" t="s">
        <v>352</v>
      </c>
      <c r="L33" s="505"/>
      <c r="M33" s="505"/>
      <c r="N33" s="505"/>
    </row>
    <row r="34" spans="1:15" ht="15" customHeight="1" x14ac:dyDescent="0.2">
      <c r="A34" s="485">
        <v>71</v>
      </c>
      <c r="B34" s="486">
        <v>11280</v>
      </c>
      <c r="C34" s="484" t="s">
        <v>218</v>
      </c>
      <c r="D34" s="487">
        <v>1</v>
      </c>
      <c r="E34" s="483">
        <v>0</v>
      </c>
      <c r="F34" s="483">
        <v>1.1000000000000001</v>
      </c>
      <c r="G34" s="483">
        <v>1.1000000000000001</v>
      </c>
      <c r="H34" s="487" t="s">
        <v>168</v>
      </c>
      <c r="I34" s="471" t="s">
        <v>477</v>
      </c>
      <c r="J34" s="507"/>
      <c r="K34" s="507" t="s">
        <v>352</v>
      </c>
      <c r="L34" s="507"/>
      <c r="M34" s="507"/>
      <c r="N34" s="507"/>
    </row>
    <row r="35" spans="1:15" ht="15" customHeight="1" x14ac:dyDescent="0.35">
      <c r="A35" s="482">
        <v>72</v>
      </c>
      <c r="B35" s="493">
        <v>49</v>
      </c>
      <c r="C35" s="545" t="s">
        <v>219</v>
      </c>
      <c r="D35" s="482">
        <v>1</v>
      </c>
      <c r="E35" s="495">
        <v>47.978999999999999</v>
      </c>
      <c r="F35" s="495">
        <v>49.119</v>
      </c>
      <c r="G35" s="495">
        <v>1.1400000000000006</v>
      </c>
      <c r="H35" s="482" t="s">
        <v>178</v>
      </c>
      <c r="I35" s="475" t="s">
        <v>478</v>
      </c>
      <c r="J35" s="505"/>
      <c r="K35" s="505" t="s">
        <v>352</v>
      </c>
      <c r="L35" s="505"/>
      <c r="M35" s="505"/>
      <c r="N35" s="505"/>
      <c r="O35" s="546" t="s">
        <v>523</v>
      </c>
    </row>
    <row r="36" spans="1:15" ht="15" customHeight="1" x14ac:dyDescent="0.3">
      <c r="A36" s="485">
        <v>151</v>
      </c>
      <c r="B36" s="493">
        <v>49</v>
      </c>
      <c r="C36" s="535" t="s">
        <v>219</v>
      </c>
      <c r="D36" s="482">
        <v>1</v>
      </c>
      <c r="E36" s="495">
        <v>58.771999999999998</v>
      </c>
      <c r="F36" s="495">
        <v>64.69</v>
      </c>
      <c r="G36" s="495">
        <v>5.9179999999999993</v>
      </c>
      <c r="H36" s="482" t="s">
        <v>178</v>
      </c>
      <c r="I36" s="475" t="s">
        <v>503</v>
      </c>
      <c r="J36" s="505"/>
      <c r="K36" s="505"/>
      <c r="L36" s="505" t="s">
        <v>352</v>
      </c>
      <c r="M36" s="505"/>
      <c r="N36" s="505"/>
      <c r="O36" s="559" t="s">
        <v>539</v>
      </c>
    </row>
    <row r="37" spans="1:15" ht="15" customHeight="1" x14ac:dyDescent="0.2">
      <c r="A37" s="482">
        <v>216</v>
      </c>
      <c r="B37" s="493">
        <v>49</v>
      </c>
      <c r="C37" s="535" t="s">
        <v>219</v>
      </c>
      <c r="D37" s="482">
        <v>1</v>
      </c>
      <c r="E37" s="495">
        <v>53.38</v>
      </c>
      <c r="F37" s="495">
        <v>58.4</v>
      </c>
      <c r="G37" s="495">
        <v>5.019999999999996</v>
      </c>
      <c r="H37" s="482" t="s">
        <v>178</v>
      </c>
      <c r="I37" s="475" t="s">
        <v>510</v>
      </c>
      <c r="J37" s="507"/>
      <c r="K37" s="507"/>
      <c r="L37" s="507"/>
      <c r="M37" s="507" t="s">
        <v>352</v>
      </c>
      <c r="N37" s="507"/>
      <c r="O37" s="542"/>
    </row>
    <row r="38" spans="1:15" ht="15" customHeight="1" x14ac:dyDescent="0.2">
      <c r="A38" s="485">
        <v>93</v>
      </c>
      <c r="B38" s="486">
        <v>11205</v>
      </c>
      <c r="C38" s="484" t="s">
        <v>228</v>
      </c>
      <c r="D38" s="487">
        <v>1</v>
      </c>
      <c r="E38" s="483">
        <v>0.623</v>
      </c>
      <c r="F38" s="483">
        <v>2.1480000000000001</v>
      </c>
      <c r="G38" s="483">
        <v>1.5250000000000001</v>
      </c>
      <c r="H38" s="487" t="s">
        <v>168</v>
      </c>
      <c r="I38" s="473">
        <v>1335</v>
      </c>
      <c r="J38" s="507"/>
      <c r="K38" s="507" t="s">
        <v>352</v>
      </c>
      <c r="L38" s="507"/>
      <c r="M38" s="507"/>
      <c r="N38" s="507"/>
    </row>
    <row r="39" spans="1:15" ht="15" customHeight="1" x14ac:dyDescent="0.2">
      <c r="A39" s="485">
        <v>95</v>
      </c>
      <c r="B39" s="486">
        <v>11285</v>
      </c>
      <c r="C39" s="484" t="s">
        <v>229</v>
      </c>
      <c r="D39" s="487">
        <v>1</v>
      </c>
      <c r="E39" s="483">
        <v>0</v>
      </c>
      <c r="F39" s="483">
        <v>1</v>
      </c>
      <c r="G39" s="483">
        <v>1</v>
      </c>
      <c r="H39" s="487" t="s">
        <v>168</v>
      </c>
      <c r="I39" s="473">
        <v>1664</v>
      </c>
      <c r="J39" s="507"/>
      <c r="K39" s="507" t="s">
        <v>352</v>
      </c>
      <c r="L39" s="507"/>
      <c r="M39" s="507"/>
      <c r="N39" s="507"/>
    </row>
    <row r="40" spans="1:15" ht="15" customHeight="1" x14ac:dyDescent="0.2">
      <c r="A40" s="485">
        <v>29</v>
      </c>
      <c r="B40" s="493">
        <v>7</v>
      </c>
      <c r="C40" s="494" t="s">
        <v>191</v>
      </c>
      <c r="D40" s="482">
        <v>1</v>
      </c>
      <c r="E40" s="495">
        <v>195.565</v>
      </c>
      <c r="F40" s="495">
        <v>208.934</v>
      </c>
      <c r="G40" s="495">
        <v>13.369</v>
      </c>
      <c r="H40" s="482" t="s">
        <v>192</v>
      </c>
      <c r="I40" s="475" t="s">
        <v>467</v>
      </c>
      <c r="J40" s="505"/>
      <c r="K40" s="505" t="s">
        <v>352</v>
      </c>
      <c r="L40" s="505"/>
      <c r="M40" s="505"/>
      <c r="N40" s="505"/>
    </row>
    <row r="41" spans="1:15" ht="15" customHeight="1" x14ac:dyDescent="0.35">
      <c r="A41" s="482">
        <v>98</v>
      </c>
      <c r="B41" s="493">
        <v>92</v>
      </c>
      <c r="C41" s="548" t="s">
        <v>196</v>
      </c>
      <c r="D41" s="482">
        <v>1</v>
      </c>
      <c r="E41" s="495">
        <v>93.048000000000002</v>
      </c>
      <c r="F41" s="495">
        <v>101.268</v>
      </c>
      <c r="G41" s="495">
        <v>8.2199999999999989</v>
      </c>
      <c r="H41" s="482" t="s">
        <v>178</v>
      </c>
      <c r="I41" s="474">
        <v>1322</v>
      </c>
      <c r="J41" s="507"/>
      <c r="K41" s="507" t="s">
        <v>352</v>
      </c>
      <c r="L41" s="507"/>
      <c r="M41" s="507"/>
      <c r="N41" s="507"/>
      <c r="O41" s="547" t="s">
        <v>524</v>
      </c>
    </row>
    <row r="42" spans="1:15" ht="15" customHeight="1" x14ac:dyDescent="0.35">
      <c r="A42" s="482"/>
      <c r="B42" s="493">
        <v>92</v>
      </c>
      <c r="C42" s="549" t="s">
        <v>271</v>
      </c>
      <c r="D42" s="487">
        <v>1</v>
      </c>
      <c r="E42" s="483">
        <v>84.527000000000001</v>
      </c>
      <c r="F42" s="495">
        <v>93.048000000000002</v>
      </c>
      <c r="G42" s="495">
        <v>8.5210000000000008</v>
      </c>
      <c r="H42" s="482" t="s">
        <v>178</v>
      </c>
      <c r="I42" s="499">
        <v>1322</v>
      </c>
      <c r="J42" s="507"/>
      <c r="K42" s="507"/>
      <c r="L42" s="507"/>
      <c r="M42" s="507" t="s">
        <v>352</v>
      </c>
      <c r="N42" s="507"/>
      <c r="O42" s="547" t="s">
        <v>524</v>
      </c>
    </row>
    <row r="43" spans="1:15" ht="15" customHeight="1" x14ac:dyDescent="0.2">
      <c r="A43" s="482">
        <v>122</v>
      </c>
      <c r="B43" s="486">
        <v>11260</v>
      </c>
      <c r="C43" s="484" t="s">
        <v>245</v>
      </c>
      <c r="D43" s="487">
        <v>1</v>
      </c>
      <c r="E43" s="483">
        <v>20.151</v>
      </c>
      <c r="F43" s="483">
        <v>24.315000000000001</v>
      </c>
      <c r="G43" s="483">
        <v>4.1640000000000015</v>
      </c>
      <c r="H43" s="487" t="s">
        <v>168</v>
      </c>
      <c r="I43" s="471" t="s">
        <v>493</v>
      </c>
      <c r="J43" s="507"/>
      <c r="K43" s="507" t="s">
        <v>352</v>
      </c>
      <c r="L43" s="507"/>
      <c r="M43" s="507"/>
      <c r="N43" s="507"/>
    </row>
    <row r="44" spans="1:15" ht="15" customHeight="1" x14ac:dyDescent="0.2">
      <c r="A44" s="482">
        <v>126</v>
      </c>
      <c r="B44" s="493">
        <v>55</v>
      </c>
      <c r="C44" s="494" t="s">
        <v>247</v>
      </c>
      <c r="D44" s="482">
        <v>1</v>
      </c>
      <c r="E44" s="495">
        <v>0</v>
      </c>
      <c r="F44" s="495">
        <v>4.4249999999999998</v>
      </c>
      <c r="G44" s="495">
        <v>4.4249999999999998</v>
      </c>
      <c r="H44" s="482" t="s">
        <v>178</v>
      </c>
      <c r="I44" s="475" t="s">
        <v>495</v>
      </c>
      <c r="J44" s="507"/>
      <c r="K44" s="507" t="s">
        <v>352</v>
      </c>
      <c r="L44" s="507"/>
      <c r="M44" s="507"/>
      <c r="N44" s="507"/>
    </row>
    <row r="45" spans="1:15" ht="15" customHeight="1" x14ac:dyDescent="0.2">
      <c r="A45" s="482">
        <v>134</v>
      </c>
      <c r="B45" s="486">
        <v>11106</v>
      </c>
      <c r="C45" s="484" t="s">
        <v>251</v>
      </c>
      <c r="D45" s="487">
        <v>1</v>
      </c>
      <c r="E45" s="483">
        <v>0</v>
      </c>
      <c r="F45" s="483">
        <v>1.9350000000000001</v>
      </c>
      <c r="G45" s="483">
        <v>1.9350000000000001</v>
      </c>
      <c r="H45" s="487" t="s">
        <v>168</v>
      </c>
      <c r="I45" s="471" t="s">
        <v>499</v>
      </c>
      <c r="J45" s="507"/>
      <c r="K45" s="507" t="s">
        <v>352</v>
      </c>
      <c r="L45" s="507"/>
      <c r="M45" s="507"/>
      <c r="N45" s="507"/>
    </row>
    <row r="46" spans="1:15" ht="15" customHeight="1" x14ac:dyDescent="0.2">
      <c r="A46" s="482">
        <v>164</v>
      </c>
      <c r="B46" s="493">
        <v>27</v>
      </c>
      <c r="C46" s="494" t="s">
        <v>235</v>
      </c>
      <c r="D46" s="482">
        <v>1</v>
      </c>
      <c r="E46" s="495">
        <v>32.868000000000002</v>
      </c>
      <c r="F46" s="495">
        <v>38.131999999999998</v>
      </c>
      <c r="G46" s="495">
        <v>5.2639999999999958</v>
      </c>
      <c r="H46" s="482" t="s">
        <v>171</v>
      </c>
      <c r="I46" s="474">
        <v>577</v>
      </c>
      <c r="J46" s="507"/>
      <c r="K46" s="507" t="s">
        <v>352</v>
      </c>
      <c r="L46" s="507"/>
      <c r="M46" s="507"/>
      <c r="N46" s="507"/>
    </row>
    <row r="47" spans="1:15" ht="15" customHeight="1" x14ac:dyDescent="0.2">
      <c r="A47" s="485">
        <v>209</v>
      </c>
      <c r="B47" s="493">
        <v>10</v>
      </c>
      <c r="C47" s="494" t="s">
        <v>225</v>
      </c>
      <c r="D47" s="482">
        <v>1</v>
      </c>
      <c r="E47" s="495">
        <v>56.481000000000002</v>
      </c>
      <c r="F47" s="495">
        <v>64.962000000000003</v>
      </c>
      <c r="G47" s="495">
        <v>8.4810000000000016</v>
      </c>
      <c r="H47" s="482" t="s">
        <v>170</v>
      </c>
      <c r="I47" s="474">
        <v>1909</v>
      </c>
      <c r="J47" s="505"/>
      <c r="K47" s="505" t="s">
        <v>352</v>
      </c>
      <c r="L47" s="505"/>
      <c r="M47" s="505"/>
      <c r="N47" s="505"/>
    </row>
    <row r="48" spans="1:15" ht="15" customHeight="1" x14ac:dyDescent="0.2">
      <c r="A48" s="482"/>
      <c r="B48" s="493">
        <v>19203</v>
      </c>
      <c r="C48" s="497" t="s">
        <v>272</v>
      </c>
      <c r="D48" s="487">
        <v>1</v>
      </c>
      <c r="E48" s="495">
        <v>9.077</v>
      </c>
      <c r="F48" s="483">
        <v>14.156000000000001</v>
      </c>
      <c r="G48" s="483">
        <v>5.0790000000000006</v>
      </c>
      <c r="H48" s="482" t="s">
        <v>171</v>
      </c>
      <c r="I48" s="499">
        <v>418</v>
      </c>
      <c r="J48" s="507"/>
      <c r="K48" s="507" t="s">
        <v>352</v>
      </c>
      <c r="L48" s="507"/>
      <c r="M48" s="507"/>
      <c r="N48" s="507"/>
    </row>
    <row r="49" spans="1:17" ht="15" customHeight="1" x14ac:dyDescent="0.35">
      <c r="A49" s="485">
        <v>51</v>
      </c>
      <c r="B49" s="493">
        <v>36</v>
      </c>
      <c r="C49" s="552" t="s">
        <v>199</v>
      </c>
      <c r="D49" s="550">
        <v>1</v>
      </c>
      <c r="E49" s="553">
        <v>25.724</v>
      </c>
      <c r="F49" s="553">
        <v>33.700000000000003</v>
      </c>
      <c r="G49" s="495">
        <v>7.9760000000000026</v>
      </c>
      <c r="H49" s="482" t="s">
        <v>176</v>
      </c>
      <c r="I49" s="474">
        <v>1025</v>
      </c>
      <c r="J49" s="505"/>
      <c r="K49" s="505" t="s">
        <v>352</v>
      </c>
      <c r="L49" s="505"/>
      <c r="M49" s="505"/>
      <c r="N49" s="505"/>
      <c r="O49" s="554" t="s">
        <v>525</v>
      </c>
    </row>
    <row r="50" spans="1:17" ht="15" customHeight="1" x14ac:dyDescent="0.35">
      <c r="A50" s="485">
        <v>45</v>
      </c>
      <c r="B50" s="493">
        <v>36</v>
      </c>
      <c r="C50" s="552" t="s">
        <v>199</v>
      </c>
      <c r="D50" s="550">
        <v>1</v>
      </c>
      <c r="E50" s="553">
        <v>33.700000000000003</v>
      </c>
      <c r="F50" s="553">
        <v>38.909999999999997</v>
      </c>
      <c r="G50" s="495">
        <v>5.2099999999999937</v>
      </c>
      <c r="H50" s="482" t="s">
        <v>176</v>
      </c>
      <c r="I50" s="475" t="s">
        <v>471</v>
      </c>
      <c r="J50" s="505"/>
      <c r="K50" s="505" t="s">
        <v>352</v>
      </c>
      <c r="L50" s="505" t="s">
        <v>352</v>
      </c>
      <c r="M50" s="505"/>
      <c r="N50" s="505"/>
      <c r="O50" s="554" t="s">
        <v>526</v>
      </c>
    </row>
    <row r="51" spans="1:17" ht="15" customHeight="1" x14ac:dyDescent="0.2">
      <c r="A51" s="485">
        <v>99</v>
      </c>
      <c r="B51" s="493">
        <v>5</v>
      </c>
      <c r="C51" s="494" t="s">
        <v>231</v>
      </c>
      <c r="D51" s="482">
        <v>1</v>
      </c>
      <c r="E51" s="495">
        <v>16.12</v>
      </c>
      <c r="F51" s="495">
        <v>28.231000000000002</v>
      </c>
      <c r="G51" s="495">
        <v>12.111000000000001</v>
      </c>
      <c r="H51" s="482" t="s">
        <v>171</v>
      </c>
      <c r="I51" s="475" t="s">
        <v>485</v>
      </c>
      <c r="J51" s="507"/>
      <c r="K51" s="507" t="s">
        <v>352</v>
      </c>
      <c r="L51" s="507" t="s">
        <v>352</v>
      </c>
      <c r="M51" s="507"/>
      <c r="N51" s="507"/>
    </row>
    <row r="52" spans="1:17" ht="15" customHeight="1" x14ac:dyDescent="0.2">
      <c r="A52" s="485">
        <v>101</v>
      </c>
      <c r="B52" s="486">
        <v>11162</v>
      </c>
      <c r="C52" s="484" t="s">
        <v>232</v>
      </c>
      <c r="D52" s="487">
        <v>1</v>
      </c>
      <c r="E52" s="483">
        <v>0</v>
      </c>
      <c r="F52" s="483">
        <v>2.8</v>
      </c>
      <c r="G52" s="483">
        <v>2.8</v>
      </c>
      <c r="H52" s="487" t="s">
        <v>168</v>
      </c>
      <c r="I52" s="471" t="s">
        <v>486</v>
      </c>
      <c r="J52" s="507"/>
      <c r="K52" s="507" t="s">
        <v>352</v>
      </c>
      <c r="L52" s="507" t="s">
        <v>352</v>
      </c>
      <c r="M52" s="507"/>
      <c r="N52" s="507"/>
    </row>
    <row r="53" spans="1:17" ht="15" customHeight="1" x14ac:dyDescent="0.2">
      <c r="A53" s="485">
        <v>31</v>
      </c>
      <c r="B53" s="493">
        <v>90</v>
      </c>
      <c r="C53" s="535" t="s">
        <v>183</v>
      </c>
      <c r="D53" s="482">
        <v>1</v>
      </c>
      <c r="E53" s="536">
        <v>11.295</v>
      </c>
      <c r="F53" s="536">
        <v>21.094000000000001</v>
      </c>
      <c r="G53" s="495">
        <v>9.7990000000000013</v>
      </c>
      <c r="H53" s="482" t="s">
        <v>184</v>
      </c>
      <c r="I53" s="475" t="s">
        <v>468</v>
      </c>
      <c r="J53" s="505"/>
      <c r="K53" s="505" t="s">
        <v>352</v>
      </c>
      <c r="L53" s="505" t="s">
        <v>352</v>
      </c>
      <c r="M53" s="505"/>
      <c r="N53" s="505"/>
      <c r="O53" s="1628" t="s">
        <v>527</v>
      </c>
      <c r="P53" s="1628"/>
      <c r="Q53" s="1628"/>
    </row>
    <row r="54" spans="1:17" ht="15" customHeight="1" x14ac:dyDescent="0.2">
      <c r="A54" s="485">
        <v>35</v>
      </c>
      <c r="B54" s="493">
        <v>90</v>
      </c>
      <c r="C54" s="535" t="s">
        <v>183</v>
      </c>
      <c r="D54" s="482">
        <v>1</v>
      </c>
      <c r="E54" s="536">
        <v>27.300999999999998</v>
      </c>
      <c r="F54" s="536">
        <v>34.219000000000001</v>
      </c>
      <c r="G54" s="495">
        <v>6.9180000000000028</v>
      </c>
      <c r="H54" s="482" t="s">
        <v>184</v>
      </c>
      <c r="I54" s="474">
        <v>606</v>
      </c>
      <c r="J54" s="505"/>
      <c r="K54" s="505" t="s">
        <v>352</v>
      </c>
      <c r="L54" s="505" t="s">
        <v>352</v>
      </c>
      <c r="M54" s="505"/>
      <c r="N54" s="505"/>
      <c r="O54" s="1628"/>
      <c r="P54" s="1628"/>
      <c r="Q54" s="1628"/>
    </row>
    <row r="55" spans="1:17" ht="15" customHeight="1" x14ac:dyDescent="0.2">
      <c r="A55" s="551">
        <v>23</v>
      </c>
      <c r="B55" s="493">
        <v>90</v>
      </c>
      <c r="C55" s="535" t="s">
        <v>183</v>
      </c>
      <c r="D55" s="482">
        <v>1</v>
      </c>
      <c r="E55" s="536">
        <v>21.094000000000001</v>
      </c>
      <c r="F55" s="536">
        <v>27.300999999999998</v>
      </c>
      <c r="G55" s="495">
        <v>6.2069999999999972</v>
      </c>
      <c r="H55" s="482" t="s">
        <v>184</v>
      </c>
      <c r="I55" s="474">
        <v>968</v>
      </c>
      <c r="J55" s="505"/>
      <c r="K55" s="505"/>
      <c r="L55" s="505"/>
      <c r="M55" s="505" t="s">
        <v>352</v>
      </c>
      <c r="N55" s="505"/>
      <c r="O55" s="1628"/>
      <c r="P55" s="1628"/>
      <c r="Q55" s="1628"/>
    </row>
    <row r="56" spans="1:17" ht="15" customHeight="1" x14ac:dyDescent="0.2">
      <c r="A56" s="551">
        <v>85</v>
      </c>
      <c r="B56" s="493">
        <v>90</v>
      </c>
      <c r="C56" s="535" t="s">
        <v>183</v>
      </c>
      <c r="D56" s="482">
        <v>1</v>
      </c>
      <c r="E56" s="536">
        <v>0.28999999999999998</v>
      </c>
      <c r="F56" s="536">
        <v>11.295</v>
      </c>
      <c r="G56" s="495">
        <v>11.005000000000001</v>
      </c>
      <c r="H56" s="482" t="s">
        <v>184</v>
      </c>
      <c r="I56" s="475" t="s">
        <v>483</v>
      </c>
      <c r="J56" s="505"/>
      <c r="K56" s="505"/>
      <c r="L56" s="505"/>
      <c r="M56" s="505" t="s">
        <v>352</v>
      </c>
      <c r="N56" s="505"/>
      <c r="O56" s="1628"/>
      <c r="P56" s="1628"/>
      <c r="Q56" s="1628"/>
    </row>
    <row r="57" spans="1:17" ht="15" customHeight="1" x14ac:dyDescent="0.2">
      <c r="A57" s="485">
        <v>36</v>
      </c>
      <c r="B57" s="493">
        <v>45</v>
      </c>
      <c r="C57" s="494" t="s">
        <v>195</v>
      </c>
      <c r="D57" s="482">
        <v>1</v>
      </c>
      <c r="E57" s="495">
        <v>69.626999999999995</v>
      </c>
      <c r="F57" s="495">
        <v>78.251999999999995</v>
      </c>
      <c r="G57" s="495">
        <v>8.625</v>
      </c>
      <c r="H57" s="482" t="s">
        <v>184</v>
      </c>
      <c r="I57" s="474">
        <v>965</v>
      </c>
      <c r="J57" s="505"/>
      <c r="K57" s="505" t="s">
        <v>352</v>
      </c>
      <c r="L57" s="505" t="s">
        <v>352</v>
      </c>
      <c r="M57" s="505"/>
      <c r="N57" s="505"/>
    </row>
    <row r="58" spans="1:17" ht="15" customHeight="1" x14ac:dyDescent="0.35">
      <c r="A58" s="482">
        <v>196</v>
      </c>
      <c r="B58" s="493">
        <v>81</v>
      </c>
      <c r="C58" s="535" t="s">
        <v>189</v>
      </c>
      <c r="D58" s="482">
        <v>1</v>
      </c>
      <c r="E58" s="536">
        <v>4.9000000000000004</v>
      </c>
      <c r="F58" s="536">
        <v>11.414999999999999</v>
      </c>
      <c r="G58" s="536">
        <v>6.5149999999999988</v>
      </c>
      <c r="H58" s="537" t="s">
        <v>190</v>
      </c>
      <c r="I58" s="538">
        <v>823</v>
      </c>
      <c r="J58" s="507"/>
      <c r="K58" s="507"/>
      <c r="L58" s="507" t="s">
        <v>352</v>
      </c>
      <c r="M58" s="507"/>
      <c r="N58" s="507"/>
      <c r="O58" s="567" t="s">
        <v>528</v>
      </c>
    </row>
    <row r="59" spans="1:17" ht="15" customHeight="1" x14ac:dyDescent="0.2">
      <c r="A59" s="485">
        <v>60</v>
      </c>
      <c r="B59" s="493">
        <v>81</v>
      </c>
      <c r="C59" s="535" t="s">
        <v>189</v>
      </c>
      <c r="D59" s="482">
        <v>1</v>
      </c>
      <c r="E59" s="536">
        <v>16.914999999999999</v>
      </c>
      <c r="F59" s="536">
        <v>21.69</v>
      </c>
      <c r="G59" s="536">
        <v>4.7750000000000021</v>
      </c>
      <c r="H59" s="537" t="s">
        <v>190</v>
      </c>
      <c r="I59" s="538">
        <v>823</v>
      </c>
      <c r="J59" s="507"/>
      <c r="K59" s="507"/>
      <c r="L59" s="507" t="s">
        <v>352</v>
      </c>
      <c r="M59" s="507"/>
      <c r="N59" s="507"/>
      <c r="O59" s="542"/>
    </row>
    <row r="60" spans="1:17" ht="15" customHeight="1" x14ac:dyDescent="0.2">
      <c r="A60" s="485">
        <v>10</v>
      </c>
      <c r="B60" s="486">
        <v>11345</v>
      </c>
      <c r="C60" s="484" t="s">
        <v>173</v>
      </c>
      <c r="D60" s="487">
        <v>1</v>
      </c>
      <c r="E60" s="483">
        <v>6.742</v>
      </c>
      <c r="F60" s="483">
        <v>7.702</v>
      </c>
      <c r="G60" s="483">
        <v>0.96</v>
      </c>
      <c r="H60" s="487" t="s">
        <v>168</v>
      </c>
      <c r="I60" s="471" t="s">
        <v>461</v>
      </c>
      <c r="J60" s="507"/>
      <c r="K60" s="507"/>
      <c r="L60" s="507" t="s">
        <v>352</v>
      </c>
      <c r="M60" s="507"/>
      <c r="N60" s="507"/>
    </row>
    <row r="61" spans="1:17" ht="15" customHeight="1" x14ac:dyDescent="0.2">
      <c r="A61" s="485">
        <v>15</v>
      </c>
      <c r="B61" s="486">
        <v>13115</v>
      </c>
      <c r="C61" s="484" t="s">
        <v>177</v>
      </c>
      <c r="D61" s="487">
        <v>1</v>
      </c>
      <c r="E61" s="483">
        <v>0</v>
      </c>
      <c r="F61" s="483">
        <v>3.3460000000000001</v>
      </c>
      <c r="G61" s="483">
        <v>3.3460000000000001</v>
      </c>
      <c r="H61" s="487" t="s">
        <v>164</v>
      </c>
      <c r="I61" s="473">
        <v>993</v>
      </c>
      <c r="J61" s="507"/>
      <c r="K61" s="507"/>
      <c r="L61" s="507" t="s">
        <v>352</v>
      </c>
      <c r="M61" s="507"/>
      <c r="N61" s="507"/>
    </row>
    <row r="62" spans="1:17" ht="15" customHeight="1" x14ac:dyDescent="0.2">
      <c r="A62" s="485">
        <v>20</v>
      </c>
      <c r="B62" s="486">
        <v>13141</v>
      </c>
      <c r="C62" s="484" t="s">
        <v>181</v>
      </c>
      <c r="D62" s="487">
        <v>1</v>
      </c>
      <c r="E62" s="483">
        <v>0</v>
      </c>
      <c r="F62" s="483">
        <v>0.66</v>
      </c>
      <c r="G62" s="483">
        <v>0.66</v>
      </c>
      <c r="H62" s="487" t="s">
        <v>164</v>
      </c>
      <c r="I62" s="473">
        <v>2558</v>
      </c>
      <c r="J62" s="507"/>
      <c r="K62" s="507"/>
      <c r="L62" s="507" t="s">
        <v>352</v>
      </c>
      <c r="M62" s="507"/>
      <c r="N62" s="507"/>
    </row>
    <row r="63" spans="1:17" ht="15" customHeight="1" x14ac:dyDescent="0.35">
      <c r="A63" s="485">
        <v>43</v>
      </c>
      <c r="B63" s="486">
        <v>88</v>
      </c>
      <c r="C63" s="539" t="s">
        <v>197</v>
      </c>
      <c r="D63" s="487">
        <v>1</v>
      </c>
      <c r="E63" s="508">
        <v>33.073</v>
      </c>
      <c r="F63" s="508">
        <v>36.206000000000003</v>
      </c>
      <c r="G63" s="483">
        <v>3.1330000000000027</v>
      </c>
      <c r="H63" s="487" t="s">
        <v>198</v>
      </c>
      <c r="I63" s="473">
        <v>553</v>
      </c>
      <c r="J63" s="507"/>
      <c r="K63" s="507"/>
      <c r="L63" s="507" t="s">
        <v>352</v>
      </c>
      <c r="M63" s="507"/>
      <c r="N63" s="507"/>
      <c r="O63" s="567" t="s">
        <v>529</v>
      </c>
    </row>
    <row r="64" spans="1:17" ht="15" customHeight="1" x14ac:dyDescent="0.2">
      <c r="A64" s="482">
        <v>104</v>
      </c>
      <c r="B64" s="486">
        <v>88</v>
      </c>
      <c r="C64" s="539" t="s">
        <v>197</v>
      </c>
      <c r="D64" s="487">
        <v>1</v>
      </c>
      <c r="E64" s="508">
        <v>10.256</v>
      </c>
      <c r="F64" s="508">
        <v>15.6</v>
      </c>
      <c r="G64" s="483">
        <v>5.3439999999999994</v>
      </c>
      <c r="H64" s="487" t="s">
        <v>198</v>
      </c>
      <c r="I64" s="471" t="s">
        <v>488</v>
      </c>
      <c r="J64" s="507"/>
      <c r="K64" s="507"/>
      <c r="L64" s="507" t="s">
        <v>352</v>
      </c>
      <c r="M64" s="507"/>
      <c r="N64" s="507"/>
      <c r="O64" s="540"/>
    </row>
    <row r="65" spans="1:15" ht="15" customHeight="1" x14ac:dyDescent="0.2">
      <c r="A65" s="485">
        <v>115</v>
      </c>
      <c r="B65" s="486">
        <v>88</v>
      </c>
      <c r="C65" s="539" t="s">
        <v>197</v>
      </c>
      <c r="D65" s="487">
        <v>1</v>
      </c>
      <c r="E65" s="508">
        <v>15.6</v>
      </c>
      <c r="F65" s="508">
        <v>21.303999999999998</v>
      </c>
      <c r="G65" s="483">
        <v>5.7039999999999988</v>
      </c>
      <c r="H65" s="487" t="s">
        <v>198</v>
      </c>
      <c r="I65" s="473">
        <v>553</v>
      </c>
      <c r="J65" s="507"/>
      <c r="K65" s="507"/>
      <c r="L65" s="507"/>
      <c r="M65" s="507" t="s">
        <v>352</v>
      </c>
      <c r="N65" s="507"/>
      <c r="O65" s="540"/>
    </row>
    <row r="66" spans="1:15" ht="15" customHeight="1" x14ac:dyDescent="0.2">
      <c r="A66" s="482">
        <v>118</v>
      </c>
      <c r="B66" s="486">
        <v>88</v>
      </c>
      <c r="C66" s="539" t="s">
        <v>197</v>
      </c>
      <c r="D66" s="487">
        <v>1</v>
      </c>
      <c r="E66" s="508">
        <v>21.303999999999998</v>
      </c>
      <c r="F66" s="508">
        <v>25.484000000000002</v>
      </c>
      <c r="G66" s="483">
        <v>4.1800000000000033</v>
      </c>
      <c r="H66" s="487" t="s">
        <v>198</v>
      </c>
      <c r="I66" s="473">
        <v>553</v>
      </c>
      <c r="J66" s="507"/>
      <c r="K66" s="507"/>
      <c r="L66" s="507"/>
      <c r="M66" s="507" t="s">
        <v>352</v>
      </c>
      <c r="N66" s="507"/>
      <c r="O66" s="540"/>
    </row>
    <row r="67" spans="1:15" ht="15" customHeight="1" x14ac:dyDescent="0.2">
      <c r="A67" s="482">
        <v>156</v>
      </c>
      <c r="B67" s="486">
        <v>88</v>
      </c>
      <c r="C67" s="539" t="s">
        <v>197</v>
      </c>
      <c r="D67" s="487">
        <v>1</v>
      </c>
      <c r="E67" s="508">
        <v>25.484000000000002</v>
      </c>
      <c r="F67" s="508">
        <v>33.073</v>
      </c>
      <c r="G67" s="483">
        <v>7.5889999999999986</v>
      </c>
      <c r="H67" s="487" t="s">
        <v>198</v>
      </c>
      <c r="I67" s="473">
        <v>553</v>
      </c>
      <c r="J67" s="507"/>
      <c r="K67" s="507"/>
      <c r="L67" s="507"/>
      <c r="M67" s="507"/>
      <c r="N67" s="507" t="s">
        <v>352</v>
      </c>
      <c r="O67" s="542"/>
    </row>
    <row r="68" spans="1:15" ht="15" customHeight="1" x14ac:dyDescent="0.2">
      <c r="A68" s="485">
        <v>54</v>
      </c>
      <c r="B68" s="486">
        <v>91</v>
      </c>
      <c r="C68" s="484" t="s">
        <v>205</v>
      </c>
      <c r="D68" s="487">
        <v>1</v>
      </c>
      <c r="E68" s="483">
        <v>19.081</v>
      </c>
      <c r="F68" s="483">
        <v>26.334</v>
      </c>
      <c r="G68" s="483">
        <v>7.2530000000000001</v>
      </c>
      <c r="H68" s="487" t="s">
        <v>164</v>
      </c>
      <c r="I68" s="473">
        <v>1217</v>
      </c>
      <c r="J68" s="507"/>
      <c r="K68" s="507"/>
      <c r="L68" s="507" t="s">
        <v>352</v>
      </c>
      <c r="M68" s="507"/>
      <c r="N68" s="507"/>
    </row>
    <row r="69" spans="1:15" ht="15" customHeight="1" x14ac:dyDescent="0.35">
      <c r="A69" s="485">
        <v>63</v>
      </c>
      <c r="B69" s="486">
        <v>93</v>
      </c>
      <c r="C69" s="539" t="s">
        <v>182</v>
      </c>
      <c r="D69" s="487">
        <v>1</v>
      </c>
      <c r="E69" s="483">
        <v>0</v>
      </c>
      <c r="F69" s="483">
        <v>0.45900000000000002</v>
      </c>
      <c r="G69" s="483">
        <v>0.45900000000000002</v>
      </c>
      <c r="H69" s="487" t="s">
        <v>164</v>
      </c>
      <c r="I69" s="473">
        <v>3832</v>
      </c>
      <c r="J69" s="507"/>
      <c r="K69" s="507"/>
      <c r="L69" s="507" t="s">
        <v>352</v>
      </c>
      <c r="M69" s="507"/>
      <c r="N69" s="507"/>
      <c r="O69" s="567" t="s">
        <v>530</v>
      </c>
    </row>
    <row r="70" spans="1:15" ht="15" customHeight="1" x14ac:dyDescent="0.2">
      <c r="A70" s="482">
        <v>132</v>
      </c>
      <c r="B70" s="486">
        <v>93</v>
      </c>
      <c r="C70" s="539" t="s">
        <v>182</v>
      </c>
      <c r="D70" s="487">
        <v>1</v>
      </c>
      <c r="E70" s="483">
        <v>7.9939999999999998</v>
      </c>
      <c r="F70" s="483">
        <v>8.9909999999999997</v>
      </c>
      <c r="G70" s="483">
        <v>0.99699999999999989</v>
      </c>
      <c r="H70" s="487" t="s">
        <v>164</v>
      </c>
      <c r="I70" s="473">
        <v>7352</v>
      </c>
      <c r="J70" s="507"/>
      <c r="K70" s="507"/>
      <c r="L70" s="507"/>
      <c r="M70" s="507" t="s">
        <v>352</v>
      </c>
      <c r="N70" s="507"/>
      <c r="O70" s="542"/>
    </row>
    <row r="71" spans="1:15" ht="15" customHeight="1" x14ac:dyDescent="0.2">
      <c r="A71" s="485">
        <v>57</v>
      </c>
      <c r="B71" s="486">
        <v>11152</v>
      </c>
      <c r="C71" s="484" t="s">
        <v>206</v>
      </c>
      <c r="D71" s="487">
        <v>1</v>
      </c>
      <c r="E71" s="483">
        <v>2.8</v>
      </c>
      <c r="F71" s="483">
        <v>5.0049999999999999</v>
      </c>
      <c r="G71" s="483">
        <v>2.2050000000000001</v>
      </c>
      <c r="H71" s="487" t="s">
        <v>168</v>
      </c>
      <c r="I71" s="471" t="s">
        <v>473</v>
      </c>
      <c r="J71" s="507"/>
      <c r="K71" s="507"/>
      <c r="L71" s="507" t="s">
        <v>352</v>
      </c>
      <c r="M71" s="507"/>
      <c r="N71" s="507"/>
    </row>
    <row r="72" spans="1:15" ht="15" customHeight="1" x14ac:dyDescent="0.35">
      <c r="A72" s="485">
        <v>61</v>
      </c>
      <c r="B72" s="493">
        <v>17</v>
      </c>
      <c r="C72" s="535" t="s">
        <v>209</v>
      </c>
      <c r="D72" s="482">
        <v>1</v>
      </c>
      <c r="E72" s="495">
        <v>44.694000000000003</v>
      </c>
      <c r="F72" s="495">
        <v>54.890999999999998</v>
      </c>
      <c r="G72" s="495">
        <v>10.196999999999996</v>
      </c>
      <c r="H72" s="482" t="s">
        <v>170</v>
      </c>
      <c r="I72" s="474">
        <v>803</v>
      </c>
      <c r="J72" s="505"/>
      <c r="K72" s="505"/>
      <c r="L72" s="505" t="s">
        <v>352</v>
      </c>
      <c r="M72" s="505"/>
      <c r="N72" s="505"/>
      <c r="O72" s="567"/>
    </row>
    <row r="73" spans="1:15" ht="15" customHeight="1" x14ac:dyDescent="0.35">
      <c r="A73" s="482">
        <v>80</v>
      </c>
      <c r="B73" s="493">
        <v>17</v>
      </c>
      <c r="C73" s="535" t="s">
        <v>209</v>
      </c>
      <c r="D73" s="482">
        <v>1</v>
      </c>
      <c r="E73" s="495">
        <v>54.890999999999998</v>
      </c>
      <c r="F73" s="495">
        <v>62.819000000000003</v>
      </c>
      <c r="G73" s="495">
        <v>7.9280000000000044</v>
      </c>
      <c r="H73" s="482" t="s">
        <v>170</v>
      </c>
      <c r="I73" s="475" t="s">
        <v>482</v>
      </c>
      <c r="J73" s="505"/>
      <c r="K73" s="505"/>
      <c r="L73" s="505" t="s">
        <v>352</v>
      </c>
      <c r="M73" s="505" t="s">
        <v>352</v>
      </c>
      <c r="N73" s="505"/>
      <c r="O73" s="568" t="s">
        <v>531</v>
      </c>
    </row>
    <row r="74" spans="1:15" ht="15" customHeight="1" x14ac:dyDescent="0.35">
      <c r="A74" s="482">
        <v>108</v>
      </c>
      <c r="B74" s="493">
        <v>17</v>
      </c>
      <c r="C74" s="555" t="s">
        <v>209</v>
      </c>
      <c r="D74" s="482">
        <v>1</v>
      </c>
      <c r="E74" s="495">
        <v>34.793999999999997</v>
      </c>
      <c r="F74" s="495">
        <v>44.694000000000003</v>
      </c>
      <c r="G74" s="495">
        <v>9.9000000000000057</v>
      </c>
      <c r="H74" s="482" t="s">
        <v>170</v>
      </c>
      <c r="I74" s="475" t="s">
        <v>489</v>
      </c>
      <c r="J74" s="505"/>
      <c r="K74" s="505"/>
      <c r="L74" s="505"/>
      <c r="M74" s="505"/>
      <c r="N74" s="505" t="s">
        <v>352</v>
      </c>
      <c r="O74" s="556" t="s">
        <v>524</v>
      </c>
    </row>
    <row r="75" spans="1:15" ht="15" customHeight="1" x14ac:dyDescent="0.2">
      <c r="A75" s="485">
        <v>69</v>
      </c>
      <c r="B75" s="486">
        <v>33</v>
      </c>
      <c r="C75" s="484" t="s">
        <v>217</v>
      </c>
      <c r="D75" s="487">
        <v>1</v>
      </c>
      <c r="E75" s="483">
        <v>1.637</v>
      </c>
      <c r="F75" s="483">
        <v>3.4140000000000001</v>
      </c>
      <c r="G75" s="483">
        <v>1.7770000000000001</v>
      </c>
      <c r="H75" s="487" t="s">
        <v>164</v>
      </c>
      <c r="I75" s="473">
        <v>2512</v>
      </c>
      <c r="J75" s="507"/>
      <c r="K75" s="507"/>
      <c r="L75" s="507" t="s">
        <v>352</v>
      </c>
      <c r="M75" s="507"/>
      <c r="N75" s="507"/>
    </row>
    <row r="76" spans="1:15" ht="15" customHeight="1" x14ac:dyDescent="0.2">
      <c r="A76" s="482">
        <v>70</v>
      </c>
      <c r="B76" s="486">
        <v>21</v>
      </c>
      <c r="C76" s="484" t="s">
        <v>175</v>
      </c>
      <c r="D76" s="487">
        <v>1</v>
      </c>
      <c r="E76" s="483">
        <v>36</v>
      </c>
      <c r="F76" s="483">
        <v>44.503</v>
      </c>
      <c r="G76" s="483">
        <v>8.5030000000000001</v>
      </c>
      <c r="H76" s="487" t="s">
        <v>198</v>
      </c>
      <c r="I76" s="473">
        <v>520</v>
      </c>
      <c r="J76" s="507"/>
      <c r="K76" s="507"/>
      <c r="L76" s="507" t="s">
        <v>352</v>
      </c>
      <c r="M76" s="507"/>
      <c r="N76" s="507"/>
    </row>
    <row r="77" spans="1:15" ht="15" customHeight="1" x14ac:dyDescent="0.2">
      <c r="A77" s="485">
        <v>73</v>
      </c>
      <c r="B77" s="486">
        <v>13101</v>
      </c>
      <c r="C77" s="484" t="s">
        <v>220</v>
      </c>
      <c r="D77" s="487">
        <v>1</v>
      </c>
      <c r="E77" s="483">
        <v>0</v>
      </c>
      <c r="F77" s="483">
        <v>2.94</v>
      </c>
      <c r="G77" s="483">
        <v>2.94</v>
      </c>
      <c r="H77" s="487" t="s">
        <v>164</v>
      </c>
      <c r="I77" s="471" t="s">
        <v>479</v>
      </c>
      <c r="J77" s="507"/>
      <c r="K77" s="507"/>
      <c r="L77" s="507" t="s">
        <v>352</v>
      </c>
      <c r="M77" s="507"/>
      <c r="N77" s="507"/>
    </row>
    <row r="78" spans="1:15" ht="15" customHeight="1" x14ac:dyDescent="0.2">
      <c r="A78" s="482">
        <v>76</v>
      </c>
      <c r="B78" s="493">
        <v>25150</v>
      </c>
      <c r="C78" s="494" t="s">
        <v>221</v>
      </c>
      <c r="D78" s="482">
        <v>1</v>
      </c>
      <c r="E78" s="495">
        <v>7.306</v>
      </c>
      <c r="F78" s="495">
        <v>10.553000000000001</v>
      </c>
      <c r="G78" s="495">
        <v>3.2470000000000008</v>
      </c>
      <c r="H78" s="482" t="s">
        <v>192</v>
      </c>
      <c r="I78" s="475" t="s">
        <v>480</v>
      </c>
      <c r="J78" s="505"/>
      <c r="K78" s="505"/>
      <c r="L78" s="505" t="s">
        <v>352</v>
      </c>
      <c r="M78" s="505"/>
      <c r="N78" s="505"/>
    </row>
    <row r="79" spans="1:15" ht="15" customHeight="1" x14ac:dyDescent="0.2">
      <c r="A79" s="485">
        <v>79</v>
      </c>
      <c r="B79" s="493">
        <v>13114</v>
      </c>
      <c r="C79" s="494" t="s">
        <v>223</v>
      </c>
      <c r="D79" s="482">
        <v>1</v>
      </c>
      <c r="E79" s="495">
        <v>4.82</v>
      </c>
      <c r="F79" s="495">
        <v>7.1520000000000001</v>
      </c>
      <c r="G79" s="495">
        <v>2.3319999999999999</v>
      </c>
      <c r="H79" s="482" t="s">
        <v>176</v>
      </c>
      <c r="I79" s="474">
        <v>1415</v>
      </c>
      <c r="J79" s="507"/>
      <c r="K79" s="507"/>
      <c r="L79" s="507" t="s">
        <v>352</v>
      </c>
      <c r="M79" s="507"/>
      <c r="N79" s="507"/>
    </row>
    <row r="80" spans="1:15" ht="15" customHeight="1" x14ac:dyDescent="0.2">
      <c r="A80" s="485">
        <v>81</v>
      </c>
      <c r="B80" s="493">
        <v>58</v>
      </c>
      <c r="C80" s="494" t="s">
        <v>224</v>
      </c>
      <c r="D80" s="482">
        <v>1</v>
      </c>
      <c r="E80" s="495">
        <v>0.1</v>
      </c>
      <c r="F80" s="495">
        <v>5.968</v>
      </c>
      <c r="G80" s="495">
        <v>5.8680000000000003</v>
      </c>
      <c r="H80" s="482" t="s">
        <v>171</v>
      </c>
      <c r="I80" s="474">
        <v>637</v>
      </c>
      <c r="J80" s="507"/>
      <c r="K80" s="507"/>
      <c r="L80" s="507" t="s">
        <v>352</v>
      </c>
      <c r="M80" s="507"/>
      <c r="N80" s="507"/>
    </row>
    <row r="81" spans="1:15" ht="15" customHeight="1" x14ac:dyDescent="0.2">
      <c r="A81" s="485">
        <v>83</v>
      </c>
      <c r="B81" s="486">
        <v>11125</v>
      </c>
      <c r="C81" s="484" t="s">
        <v>187</v>
      </c>
      <c r="D81" s="487">
        <v>1</v>
      </c>
      <c r="E81" s="483">
        <v>6</v>
      </c>
      <c r="F81" s="483">
        <v>10.717000000000001</v>
      </c>
      <c r="G81" s="483">
        <v>4.7170000000000005</v>
      </c>
      <c r="H81" s="487" t="s">
        <v>168</v>
      </c>
      <c r="I81" s="473">
        <v>1214</v>
      </c>
      <c r="J81" s="507"/>
      <c r="K81" s="507"/>
      <c r="L81" s="507" t="s">
        <v>352</v>
      </c>
      <c r="M81" s="507"/>
      <c r="N81" s="507"/>
    </row>
    <row r="82" spans="1:15" ht="15" customHeight="1" x14ac:dyDescent="0.2">
      <c r="A82" s="485">
        <v>87</v>
      </c>
      <c r="B82" s="486">
        <v>21</v>
      </c>
      <c r="C82" s="484" t="s">
        <v>175</v>
      </c>
      <c r="D82" s="487">
        <v>1</v>
      </c>
      <c r="E82" s="483">
        <v>28.946999999999999</v>
      </c>
      <c r="F82" s="483">
        <v>36</v>
      </c>
      <c r="G82" s="483">
        <v>7.0530000000000008</v>
      </c>
      <c r="H82" s="487" t="s">
        <v>198</v>
      </c>
      <c r="I82" s="473">
        <v>520</v>
      </c>
      <c r="J82" s="507"/>
      <c r="K82" s="507"/>
      <c r="L82" s="507" t="s">
        <v>352</v>
      </c>
      <c r="M82" s="507"/>
      <c r="N82" s="507"/>
    </row>
    <row r="83" spans="1:15" ht="15" customHeight="1" x14ac:dyDescent="0.2">
      <c r="A83" s="485">
        <v>91</v>
      </c>
      <c r="B83" s="493">
        <v>65</v>
      </c>
      <c r="C83" s="557" t="s">
        <v>216</v>
      </c>
      <c r="D83" s="482">
        <v>1</v>
      </c>
      <c r="E83" s="558">
        <v>16.777000000000001</v>
      </c>
      <c r="F83" s="558">
        <v>25.895</v>
      </c>
      <c r="G83" s="495">
        <v>9.1179999999999986</v>
      </c>
      <c r="H83" s="482" t="s">
        <v>184</v>
      </c>
      <c r="I83" s="474">
        <v>623</v>
      </c>
      <c r="J83" s="507"/>
      <c r="K83" s="507"/>
      <c r="L83" s="507" t="s">
        <v>352</v>
      </c>
      <c r="M83" s="507"/>
      <c r="N83" s="507"/>
      <c r="O83" s="1628" t="s">
        <v>532</v>
      </c>
    </row>
    <row r="84" spans="1:15" ht="15" customHeight="1" x14ac:dyDescent="0.2">
      <c r="A84" s="485">
        <v>89</v>
      </c>
      <c r="B84" s="493">
        <v>65</v>
      </c>
      <c r="C84" s="557" t="s">
        <v>216</v>
      </c>
      <c r="D84" s="482">
        <v>1</v>
      </c>
      <c r="E84" s="558">
        <v>25.895</v>
      </c>
      <c r="F84" s="558">
        <v>35.006999999999998</v>
      </c>
      <c r="G84" s="495">
        <v>9.1119999999999983</v>
      </c>
      <c r="H84" s="482" t="s">
        <v>184</v>
      </c>
      <c r="I84" s="474">
        <v>592</v>
      </c>
      <c r="J84" s="507"/>
      <c r="K84" s="507"/>
      <c r="L84" s="507" t="s">
        <v>352</v>
      </c>
      <c r="M84" s="507"/>
      <c r="N84" s="507"/>
      <c r="O84" s="1628"/>
    </row>
    <row r="85" spans="1:15" ht="15" customHeight="1" x14ac:dyDescent="0.2">
      <c r="A85" s="482">
        <v>68</v>
      </c>
      <c r="B85" s="493">
        <v>65</v>
      </c>
      <c r="C85" s="557" t="s">
        <v>216</v>
      </c>
      <c r="D85" s="482">
        <v>1</v>
      </c>
      <c r="E85" s="558">
        <v>35.006999999999998</v>
      </c>
      <c r="F85" s="558">
        <v>43.4</v>
      </c>
      <c r="G85" s="495">
        <v>8.3930000000000007</v>
      </c>
      <c r="H85" s="482" t="s">
        <v>184</v>
      </c>
      <c r="I85" s="474">
        <v>592</v>
      </c>
      <c r="J85" s="507"/>
      <c r="K85" s="507"/>
      <c r="L85" s="507" t="s">
        <v>352</v>
      </c>
      <c r="M85" s="507" t="s">
        <v>352</v>
      </c>
      <c r="N85" s="507"/>
      <c r="O85" s="1628"/>
    </row>
    <row r="86" spans="1:15" ht="15" customHeight="1" x14ac:dyDescent="0.3">
      <c r="A86" s="482">
        <v>92</v>
      </c>
      <c r="B86" s="541">
        <v>62</v>
      </c>
      <c r="C86" s="560" t="s">
        <v>227</v>
      </c>
      <c r="D86" s="562">
        <v>1</v>
      </c>
      <c r="E86" s="561">
        <v>25.527999999999999</v>
      </c>
      <c r="F86" s="495">
        <v>32.707000000000001</v>
      </c>
      <c r="G86" s="495">
        <v>7.179000000000002</v>
      </c>
      <c r="H86" s="482" t="s">
        <v>184</v>
      </c>
      <c r="I86" s="474">
        <v>795</v>
      </c>
      <c r="J86" s="505"/>
      <c r="K86" s="505"/>
      <c r="L86" s="505" t="s">
        <v>352</v>
      </c>
      <c r="M86" s="505"/>
      <c r="N86" s="505"/>
      <c r="O86" s="559" t="s">
        <v>538</v>
      </c>
    </row>
    <row r="87" spans="1:15" ht="15" customHeight="1" x14ac:dyDescent="0.2">
      <c r="A87" s="482">
        <v>90</v>
      </c>
      <c r="B87" s="541">
        <v>62</v>
      </c>
      <c r="C87" s="560" t="s">
        <v>227</v>
      </c>
      <c r="D87" s="562">
        <v>1</v>
      </c>
      <c r="E87" s="561">
        <v>32.707000000000001</v>
      </c>
      <c r="F87" s="495">
        <v>41.655000000000001</v>
      </c>
      <c r="G87" s="495">
        <v>8.9480000000000004</v>
      </c>
      <c r="H87" s="482" t="s">
        <v>184</v>
      </c>
      <c r="I87" s="474">
        <v>631</v>
      </c>
      <c r="J87" s="505"/>
      <c r="K87" s="505"/>
      <c r="L87" s="505" t="s">
        <v>352</v>
      </c>
      <c r="M87" s="505"/>
      <c r="N87" s="505"/>
      <c r="O87" s="542"/>
    </row>
    <row r="88" spans="1:15" ht="15" customHeight="1" x14ac:dyDescent="0.2">
      <c r="A88" s="482">
        <v>110</v>
      </c>
      <c r="B88" s="486">
        <v>13106</v>
      </c>
      <c r="C88" s="484" t="s">
        <v>237</v>
      </c>
      <c r="D88" s="487">
        <v>1</v>
      </c>
      <c r="E88" s="483">
        <v>0</v>
      </c>
      <c r="F88" s="483">
        <v>2.3719999999999999</v>
      </c>
      <c r="G88" s="483">
        <v>2.3719999999999999</v>
      </c>
      <c r="H88" s="487" t="s">
        <v>164</v>
      </c>
      <c r="I88" s="471" t="s">
        <v>490</v>
      </c>
      <c r="J88" s="507"/>
      <c r="K88" s="507"/>
      <c r="L88" s="507" t="s">
        <v>352</v>
      </c>
      <c r="M88" s="507"/>
      <c r="N88" s="507"/>
    </row>
    <row r="89" spans="1:15" ht="15" customHeight="1" x14ac:dyDescent="0.2">
      <c r="A89" s="485">
        <v>113</v>
      </c>
      <c r="B89" s="486">
        <v>11161</v>
      </c>
      <c r="C89" s="484" t="s">
        <v>240</v>
      </c>
      <c r="D89" s="487">
        <v>1</v>
      </c>
      <c r="E89" s="483">
        <v>3.6019999999999999</v>
      </c>
      <c r="F89" s="483">
        <v>4.7210000000000001</v>
      </c>
      <c r="G89" s="483">
        <v>1.1190000000000002</v>
      </c>
      <c r="H89" s="487" t="s">
        <v>168</v>
      </c>
      <c r="I89" s="471" t="s">
        <v>491</v>
      </c>
      <c r="J89" s="507"/>
      <c r="K89" s="507"/>
      <c r="L89" s="507" t="s">
        <v>352</v>
      </c>
      <c r="M89" s="507"/>
      <c r="N89" s="507"/>
    </row>
    <row r="90" spans="1:15" ht="15" customHeight="1" x14ac:dyDescent="0.2">
      <c r="A90" s="482">
        <v>150</v>
      </c>
      <c r="B90" s="486">
        <v>11128</v>
      </c>
      <c r="C90" s="484" t="s">
        <v>258</v>
      </c>
      <c r="D90" s="487">
        <v>1</v>
      </c>
      <c r="E90" s="483">
        <v>0</v>
      </c>
      <c r="F90" s="483">
        <v>0.85499999999999998</v>
      </c>
      <c r="G90" s="483">
        <v>0.85499999999999998</v>
      </c>
      <c r="H90" s="487" t="s">
        <v>168</v>
      </c>
      <c r="I90" s="473">
        <v>1733</v>
      </c>
      <c r="J90" s="507"/>
      <c r="K90" s="507"/>
      <c r="L90" s="507" t="s">
        <v>352</v>
      </c>
      <c r="M90" s="507"/>
      <c r="N90" s="507"/>
    </row>
    <row r="91" spans="1:15" ht="15" customHeight="1" x14ac:dyDescent="0.2">
      <c r="A91" s="485">
        <v>16</v>
      </c>
      <c r="B91" s="493">
        <v>57</v>
      </c>
      <c r="C91" s="494" t="s">
        <v>169</v>
      </c>
      <c r="D91" s="482">
        <v>1</v>
      </c>
      <c r="E91" s="495">
        <v>16.734999999999999</v>
      </c>
      <c r="F91" s="495">
        <v>22.635000000000002</v>
      </c>
      <c r="G91" s="495">
        <v>5.9000000000000021</v>
      </c>
      <c r="H91" s="482" t="s">
        <v>178</v>
      </c>
      <c r="I91" s="474">
        <v>653</v>
      </c>
      <c r="J91" s="505"/>
      <c r="K91" s="505"/>
      <c r="L91" s="505" t="s">
        <v>352</v>
      </c>
      <c r="M91" s="505" t="s">
        <v>352</v>
      </c>
      <c r="N91" s="505"/>
    </row>
    <row r="92" spans="1:15" ht="15" customHeight="1" x14ac:dyDescent="0.2">
      <c r="A92" s="485">
        <v>66</v>
      </c>
      <c r="B92" s="493">
        <v>43</v>
      </c>
      <c r="C92" s="494" t="s">
        <v>214</v>
      </c>
      <c r="D92" s="482">
        <v>1</v>
      </c>
      <c r="E92" s="495">
        <v>30.739000000000001</v>
      </c>
      <c r="F92" s="495">
        <v>40.750999999999998</v>
      </c>
      <c r="G92" s="495">
        <v>10.011999999999997</v>
      </c>
      <c r="H92" s="470" t="s">
        <v>215</v>
      </c>
      <c r="I92" s="475" t="s">
        <v>475</v>
      </c>
      <c r="J92" s="505"/>
      <c r="K92" s="505"/>
      <c r="L92" s="505" t="s">
        <v>352</v>
      </c>
      <c r="M92" s="505" t="s">
        <v>352</v>
      </c>
      <c r="N92" s="505"/>
    </row>
    <row r="93" spans="1:15" ht="15" customHeight="1" x14ac:dyDescent="0.35">
      <c r="A93" s="482">
        <v>112</v>
      </c>
      <c r="B93" s="486">
        <v>29</v>
      </c>
      <c r="C93" s="539" t="s">
        <v>239</v>
      </c>
      <c r="D93" s="487">
        <v>1</v>
      </c>
      <c r="E93" s="483">
        <v>2.5830000000000002</v>
      </c>
      <c r="F93" s="483">
        <v>10.356</v>
      </c>
      <c r="G93" s="483">
        <v>7.7729999999999997</v>
      </c>
      <c r="H93" s="487" t="s">
        <v>212</v>
      </c>
      <c r="I93" s="473">
        <v>1070</v>
      </c>
      <c r="J93" s="507"/>
      <c r="K93" s="507"/>
      <c r="L93" s="507" t="s">
        <v>352</v>
      </c>
      <c r="M93" s="507" t="s">
        <v>352</v>
      </c>
      <c r="N93" s="507"/>
      <c r="O93" s="567" t="s">
        <v>533</v>
      </c>
    </row>
    <row r="94" spans="1:15" ht="15" customHeight="1" x14ac:dyDescent="0.2">
      <c r="A94" s="485">
        <v>123</v>
      </c>
      <c r="B94" s="486">
        <v>29</v>
      </c>
      <c r="C94" s="539" t="s">
        <v>239</v>
      </c>
      <c r="D94" s="487">
        <v>1</v>
      </c>
      <c r="E94" s="483">
        <v>11.574</v>
      </c>
      <c r="F94" s="483">
        <v>14.356999999999999</v>
      </c>
      <c r="G94" s="483">
        <v>2.7829999999999995</v>
      </c>
      <c r="H94" s="487" t="s">
        <v>212</v>
      </c>
      <c r="I94" s="473">
        <v>1070</v>
      </c>
      <c r="J94" s="507"/>
      <c r="K94" s="507"/>
      <c r="L94" s="507"/>
      <c r="M94" s="507" t="s">
        <v>352</v>
      </c>
      <c r="N94" s="507"/>
      <c r="O94" s="540"/>
    </row>
    <row r="95" spans="1:15" ht="15" customHeight="1" x14ac:dyDescent="0.2">
      <c r="A95" s="482">
        <v>176</v>
      </c>
      <c r="B95" s="486">
        <v>29</v>
      </c>
      <c r="C95" s="539" t="s">
        <v>239</v>
      </c>
      <c r="D95" s="487">
        <v>1</v>
      </c>
      <c r="E95" s="483">
        <v>16.542999999999999</v>
      </c>
      <c r="F95" s="483">
        <v>23.844999999999999</v>
      </c>
      <c r="G95" s="483">
        <v>7.3019999999999996</v>
      </c>
      <c r="H95" s="487" t="s">
        <v>212</v>
      </c>
      <c r="I95" s="473">
        <v>1070</v>
      </c>
      <c r="J95" s="507"/>
      <c r="K95" s="507"/>
      <c r="L95" s="507"/>
      <c r="M95" s="507"/>
      <c r="N95" s="507" t="s">
        <v>352</v>
      </c>
      <c r="O95" s="542"/>
    </row>
    <row r="96" spans="1:15" ht="15" customHeight="1" x14ac:dyDescent="0.2">
      <c r="A96" s="485">
        <v>46</v>
      </c>
      <c r="B96" s="493">
        <v>6</v>
      </c>
      <c r="C96" s="494" t="s">
        <v>200</v>
      </c>
      <c r="D96" s="482">
        <v>1</v>
      </c>
      <c r="E96" s="495">
        <v>75.129000000000005</v>
      </c>
      <c r="F96" s="495">
        <v>82.792000000000002</v>
      </c>
      <c r="G96" s="495">
        <v>7.6629999999999967</v>
      </c>
      <c r="H96" s="482" t="s">
        <v>178</v>
      </c>
      <c r="I96" s="475" t="s">
        <v>472</v>
      </c>
      <c r="J96" s="505"/>
      <c r="K96" s="505"/>
      <c r="L96" s="505"/>
      <c r="M96" s="505" t="s">
        <v>352</v>
      </c>
      <c r="N96" s="505"/>
    </row>
    <row r="97" spans="1:15" ht="15" customHeight="1" x14ac:dyDescent="0.2">
      <c r="A97" s="485">
        <v>47</v>
      </c>
      <c r="B97" s="486">
        <v>17142</v>
      </c>
      <c r="C97" s="484" t="s">
        <v>201</v>
      </c>
      <c r="D97" s="487">
        <v>1</v>
      </c>
      <c r="E97" s="483">
        <v>11.468999999999999</v>
      </c>
      <c r="F97" s="483">
        <v>14.519</v>
      </c>
      <c r="G97" s="483">
        <v>3.0500000000000007</v>
      </c>
      <c r="H97" s="487" t="s">
        <v>198</v>
      </c>
      <c r="I97" s="473">
        <v>919</v>
      </c>
      <c r="J97" s="507"/>
      <c r="K97" s="507"/>
      <c r="L97" s="507"/>
      <c r="M97" s="507" t="s">
        <v>352</v>
      </c>
      <c r="N97" s="507"/>
    </row>
    <row r="98" spans="1:15" ht="15" customHeight="1" x14ac:dyDescent="0.2">
      <c r="A98" s="485">
        <v>48</v>
      </c>
      <c r="B98" s="493">
        <v>63</v>
      </c>
      <c r="C98" s="494" t="s">
        <v>202</v>
      </c>
      <c r="D98" s="482">
        <v>1</v>
      </c>
      <c r="E98" s="495">
        <v>0</v>
      </c>
      <c r="F98" s="495">
        <v>3.1829999999999998</v>
      </c>
      <c r="G98" s="495">
        <v>3.1829999999999998</v>
      </c>
      <c r="H98" s="482" t="s">
        <v>184</v>
      </c>
      <c r="I98" s="474">
        <v>611</v>
      </c>
      <c r="J98" s="505"/>
      <c r="K98" s="505"/>
      <c r="L98" s="505"/>
      <c r="M98" s="505" t="s">
        <v>352</v>
      </c>
      <c r="N98" s="505"/>
    </row>
    <row r="99" spans="1:15" ht="15" customHeight="1" x14ac:dyDescent="0.2">
      <c r="A99" s="485">
        <v>25</v>
      </c>
      <c r="B99" s="493">
        <v>59</v>
      </c>
      <c r="C99" s="494" t="s">
        <v>185</v>
      </c>
      <c r="D99" s="482">
        <v>1</v>
      </c>
      <c r="E99" s="495">
        <v>16.853000000000002</v>
      </c>
      <c r="F99" s="495">
        <v>21.045000000000002</v>
      </c>
      <c r="G99" s="495">
        <v>4.1920000000000002</v>
      </c>
      <c r="H99" s="482" t="s">
        <v>171</v>
      </c>
      <c r="I99" s="475" t="s">
        <v>464</v>
      </c>
      <c r="J99" s="505"/>
      <c r="K99" s="505"/>
      <c r="L99" s="505"/>
      <c r="M99" s="505" t="s">
        <v>352</v>
      </c>
      <c r="N99" s="505"/>
    </row>
    <row r="100" spans="1:15" ht="15" customHeight="1" x14ac:dyDescent="0.2">
      <c r="A100" s="485">
        <v>62</v>
      </c>
      <c r="B100" s="493">
        <v>25194</v>
      </c>
      <c r="C100" s="494" t="s">
        <v>210</v>
      </c>
      <c r="D100" s="482">
        <v>1</v>
      </c>
      <c r="E100" s="495">
        <v>0</v>
      </c>
      <c r="F100" s="495">
        <v>1.198</v>
      </c>
      <c r="G100" s="495">
        <v>1.198</v>
      </c>
      <c r="H100" s="482" t="s">
        <v>192</v>
      </c>
      <c r="I100" s="475" t="s">
        <v>474</v>
      </c>
      <c r="J100" s="507"/>
      <c r="K100" s="507"/>
      <c r="L100" s="507"/>
      <c r="M100" s="507" t="s">
        <v>352</v>
      </c>
      <c r="N100" s="507"/>
    </row>
    <row r="101" spans="1:15" ht="15" customHeight="1" x14ac:dyDescent="0.2">
      <c r="A101" s="485">
        <v>53</v>
      </c>
      <c r="B101" s="493">
        <v>70</v>
      </c>
      <c r="C101" s="494" t="s">
        <v>204</v>
      </c>
      <c r="D101" s="482">
        <v>1</v>
      </c>
      <c r="E101" s="495">
        <v>1.008</v>
      </c>
      <c r="F101" s="495">
        <v>6.9420000000000002</v>
      </c>
      <c r="G101" s="495">
        <v>5.9340000000000002</v>
      </c>
      <c r="H101" s="482" t="s">
        <v>192</v>
      </c>
      <c r="I101" s="474">
        <v>883</v>
      </c>
      <c r="J101" s="505"/>
      <c r="K101" s="505"/>
      <c r="L101" s="505"/>
      <c r="M101" s="505" t="s">
        <v>352</v>
      </c>
      <c r="N101" s="505"/>
    </row>
    <row r="102" spans="1:15" ht="15" customHeight="1" x14ac:dyDescent="0.2">
      <c r="A102" s="485">
        <v>64</v>
      </c>
      <c r="B102" s="486">
        <v>11202</v>
      </c>
      <c r="C102" s="484" t="s">
        <v>211</v>
      </c>
      <c r="D102" s="487">
        <v>1</v>
      </c>
      <c r="E102" s="483">
        <v>25.25</v>
      </c>
      <c r="F102" s="483">
        <v>26.901</v>
      </c>
      <c r="G102" s="483">
        <v>1.6509999999999998</v>
      </c>
      <c r="H102" s="487" t="s">
        <v>212</v>
      </c>
      <c r="I102" s="473">
        <v>1707</v>
      </c>
      <c r="J102" s="507"/>
      <c r="K102" s="507"/>
      <c r="L102" s="507"/>
      <c r="M102" s="507" t="s">
        <v>352</v>
      </c>
      <c r="N102" s="507"/>
    </row>
    <row r="103" spans="1:15" ht="15" customHeight="1" x14ac:dyDescent="0.2">
      <c r="A103" s="485">
        <v>65</v>
      </c>
      <c r="B103" s="486">
        <v>11306</v>
      </c>
      <c r="C103" s="484" t="s">
        <v>213</v>
      </c>
      <c r="D103" s="487">
        <v>1</v>
      </c>
      <c r="E103" s="483">
        <v>0</v>
      </c>
      <c r="F103" s="483">
        <v>1.758</v>
      </c>
      <c r="G103" s="483">
        <v>1.758</v>
      </c>
      <c r="H103" s="487" t="s">
        <v>168</v>
      </c>
      <c r="I103" s="473">
        <v>976</v>
      </c>
      <c r="J103" s="507"/>
      <c r="K103" s="507"/>
      <c r="L103" s="507"/>
      <c r="M103" s="507" t="s">
        <v>352</v>
      </c>
      <c r="N103" s="507"/>
    </row>
    <row r="104" spans="1:15" ht="15" customHeight="1" x14ac:dyDescent="0.2">
      <c r="A104" s="485">
        <v>97</v>
      </c>
      <c r="B104" s="493">
        <v>24116</v>
      </c>
      <c r="C104" s="494" t="s">
        <v>230</v>
      </c>
      <c r="D104" s="482">
        <v>1</v>
      </c>
      <c r="E104" s="495">
        <v>0</v>
      </c>
      <c r="F104" s="495">
        <v>6.0860000000000003</v>
      </c>
      <c r="G104" s="495">
        <v>6.0860000000000003</v>
      </c>
      <c r="H104" s="482" t="s">
        <v>178</v>
      </c>
      <c r="I104" s="475" t="s">
        <v>484</v>
      </c>
      <c r="J104" s="507"/>
      <c r="K104" s="507"/>
      <c r="L104" s="507"/>
      <c r="M104" s="507" t="s">
        <v>352</v>
      </c>
      <c r="N104" s="507"/>
    </row>
    <row r="105" spans="1:15" ht="15" customHeight="1" x14ac:dyDescent="0.2">
      <c r="A105" s="482">
        <v>102</v>
      </c>
      <c r="B105" s="493">
        <v>22130</v>
      </c>
      <c r="C105" s="494" t="s">
        <v>233</v>
      </c>
      <c r="D105" s="482">
        <v>1</v>
      </c>
      <c r="E105" s="495">
        <v>0.90400000000000003</v>
      </c>
      <c r="F105" s="495">
        <v>3.2839999999999998</v>
      </c>
      <c r="G105" s="495">
        <v>2.38</v>
      </c>
      <c r="H105" s="482" t="s">
        <v>166</v>
      </c>
      <c r="I105" s="475" t="s">
        <v>487</v>
      </c>
      <c r="J105" s="507"/>
      <c r="K105" s="507"/>
      <c r="L105" s="507"/>
      <c r="M105" s="507" t="s">
        <v>352</v>
      </c>
      <c r="N105" s="507"/>
    </row>
    <row r="106" spans="1:15" ht="15" customHeight="1" x14ac:dyDescent="0.2">
      <c r="A106" s="485">
        <v>103</v>
      </c>
      <c r="B106" s="493">
        <v>46</v>
      </c>
      <c r="C106" s="494" t="s">
        <v>234</v>
      </c>
      <c r="D106" s="482">
        <v>1</v>
      </c>
      <c r="E106" s="495">
        <v>26.853999999999999</v>
      </c>
      <c r="F106" s="495">
        <v>33.420999999999999</v>
      </c>
      <c r="G106" s="495">
        <v>6.5670000000000002</v>
      </c>
      <c r="H106" s="482" t="s">
        <v>194</v>
      </c>
      <c r="I106" s="474">
        <v>893</v>
      </c>
      <c r="J106" s="505"/>
      <c r="K106" s="505"/>
      <c r="L106" s="505"/>
      <c r="M106" s="505" t="s">
        <v>352</v>
      </c>
      <c r="N106" s="505"/>
    </row>
    <row r="107" spans="1:15" ht="15" customHeight="1" x14ac:dyDescent="0.2">
      <c r="A107" s="485">
        <v>107</v>
      </c>
      <c r="B107" s="493">
        <v>69</v>
      </c>
      <c r="C107" s="563" t="s">
        <v>236</v>
      </c>
      <c r="D107" s="482">
        <v>1</v>
      </c>
      <c r="E107" s="495">
        <v>9.2420000000000009</v>
      </c>
      <c r="F107" s="495">
        <v>21.808</v>
      </c>
      <c r="G107" s="495">
        <v>12.565999999999999</v>
      </c>
      <c r="H107" s="482" t="s">
        <v>192</v>
      </c>
      <c r="I107" s="474">
        <v>1528</v>
      </c>
      <c r="J107" s="507"/>
      <c r="K107" s="507"/>
      <c r="L107" s="507"/>
      <c r="M107" s="507" t="s">
        <v>352</v>
      </c>
      <c r="N107" s="507"/>
      <c r="O107" s="478" t="s">
        <v>535</v>
      </c>
    </row>
    <row r="108" spans="1:15" ht="15" customHeight="1" x14ac:dyDescent="0.2">
      <c r="A108" s="485">
        <v>131</v>
      </c>
      <c r="B108" s="493">
        <v>69</v>
      </c>
      <c r="C108" s="535" t="s">
        <v>236</v>
      </c>
      <c r="D108" s="482">
        <v>1</v>
      </c>
      <c r="E108" s="495">
        <v>47.822000000000003</v>
      </c>
      <c r="F108" s="495">
        <v>56.863999999999997</v>
      </c>
      <c r="G108" s="495">
        <v>9.0419999999999945</v>
      </c>
      <c r="H108" s="482" t="s">
        <v>192</v>
      </c>
      <c r="I108" s="474">
        <v>843</v>
      </c>
      <c r="J108" s="507"/>
      <c r="K108" s="507"/>
      <c r="L108" s="507"/>
      <c r="M108" s="507"/>
      <c r="N108" s="507" t="s">
        <v>352</v>
      </c>
      <c r="O108" s="1628" t="s">
        <v>534</v>
      </c>
    </row>
    <row r="109" spans="1:15" ht="15" customHeight="1" x14ac:dyDescent="0.2">
      <c r="A109" s="482">
        <v>120</v>
      </c>
      <c r="B109" s="493">
        <v>69</v>
      </c>
      <c r="C109" s="535" t="s">
        <v>236</v>
      </c>
      <c r="D109" s="482">
        <v>1</v>
      </c>
      <c r="E109" s="495">
        <v>57.286000000000001</v>
      </c>
      <c r="F109" s="495">
        <v>65.332999999999998</v>
      </c>
      <c r="G109" s="495">
        <v>8.046999999999997</v>
      </c>
      <c r="H109" s="482" t="s">
        <v>192</v>
      </c>
      <c r="I109" s="474">
        <v>807</v>
      </c>
      <c r="J109" s="505"/>
      <c r="K109" s="505"/>
      <c r="L109" s="505"/>
      <c r="M109" s="505"/>
      <c r="N109" s="505" t="s">
        <v>352</v>
      </c>
      <c r="O109" s="1628"/>
    </row>
    <row r="110" spans="1:15" ht="15" customHeight="1" x14ac:dyDescent="0.2">
      <c r="A110" s="482">
        <v>116</v>
      </c>
      <c r="B110" s="486">
        <v>39</v>
      </c>
      <c r="C110" s="484" t="s">
        <v>242</v>
      </c>
      <c r="D110" s="487">
        <v>1</v>
      </c>
      <c r="E110" s="483">
        <v>91.302999999999997</v>
      </c>
      <c r="F110" s="483">
        <v>92.216999999999999</v>
      </c>
      <c r="G110" s="483">
        <v>0.91400000000000148</v>
      </c>
      <c r="H110" s="487" t="s">
        <v>188</v>
      </c>
      <c r="I110" s="473">
        <v>888</v>
      </c>
      <c r="J110" s="507"/>
      <c r="K110" s="507"/>
      <c r="L110" s="507"/>
      <c r="M110" s="507" t="s">
        <v>352</v>
      </c>
      <c r="N110" s="507"/>
    </row>
    <row r="111" spans="1:15" ht="15" customHeight="1" x14ac:dyDescent="0.2">
      <c r="A111" s="485">
        <v>117</v>
      </c>
      <c r="B111" s="486">
        <v>11113</v>
      </c>
      <c r="C111" s="484" t="s">
        <v>243</v>
      </c>
      <c r="D111" s="487">
        <v>1</v>
      </c>
      <c r="E111" s="483">
        <v>3.234</v>
      </c>
      <c r="F111" s="483">
        <v>4.8929999999999998</v>
      </c>
      <c r="G111" s="483">
        <v>1.6589999999999998</v>
      </c>
      <c r="H111" s="487" t="s">
        <v>168</v>
      </c>
      <c r="I111" s="471" t="s">
        <v>492</v>
      </c>
      <c r="J111" s="507"/>
      <c r="K111" s="507"/>
      <c r="L111" s="507"/>
      <c r="M111" s="507" t="s">
        <v>352</v>
      </c>
      <c r="N111" s="507"/>
    </row>
    <row r="112" spans="1:15" ht="15" customHeight="1" x14ac:dyDescent="0.2">
      <c r="A112" s="482">
        <v>130</v>
      </c>
      <c r="B112" s="486">
        <v>13105</v>
      </c>
      <c r="C112" s="484" t="s">
        <v>250</v>
      </c>
      <c r="D112" s="487">
        <v>1</v>
      </c>
      <c r="E112" s="483">
        <v>0.13</v>
      </c>
      <c r="F112" s="483">
        <v>5.3979999999999997</v>
      </c>
      <c r="G112" s="483">
        <v>5.2679999999999998</v>
      </c>
      <c r="H112" s="487" t="s">
        <v>164</v>
      </c>
      <c r="I112" s="471" t="s">
        <v>498</v>
      </c>
      <c r="J112" s="507"/>
      <c r="K112" s="507"/>
      <c r="L112" s="507"/>
      <c r="M112" s="507" t="s">
        <v>352</v>
      </c>
      <c r="N112" s="507"/>
    </row>
    <row r="113" spans="1:15" ht="15" customHeight="1" x14ac:dyDescent="0.2">
      <c r="A113" s="482">
        <v>138</v>
      </c>
      <c r="B113" s="486">
        <v>11412</v>
      </c>
      <c r="C113" s="484" t="s">
        <v>252</v>
      </c>
      <c r="D113" s="487">
        <v>1</v>
      </c>
      <c r="E113" s="483">
        <v>0</v>
      </c>
      <c r="F113" s="483">
        <v>5.1559999999999997</v>
      </c>
      <c r="G113" s="483">
        <v>5.1559999999999997</v>
      </c>
      <c r="H113" s="487" t="s">
        <v>168</v>
      </c>
      <c r="I113" s="471" t="s">
        <v>500</v>
      </c>
      <c r="J113" s="507"/>
      <c r="K113" s="507"/>
      <c r="L113" s="507"/>
      <c r="M113" s="507" t="s">
        <v>352</v>
      </c>
      <c r="N113" s="507"/>
    </row>
    <row r="114" spans="1:15" ht="15" customHeight="1" x14ac:dyDescent="0.2">
      <c r="A114" s="485">
        <v>141</v>
      </c>
      <c r="B114" s="486">
        <v>11315</v>
      </c>
      <c r="C114" s="484" t="s">
        <v>253</v>
      </c>
      <c r="D114" s="487">
        <v>1</v>
      </c>
      <c r="E114" s="483">
        <v>5.5E-2</v>
      </c>
      <c r="F114" s="483">
        <v>5.9</v>
      </c>
      <c r="G114" s="483">
        <v>5.8450000000000006</v>
      </c>
      <c r="H114" s="487" t="s">
        <v>168</v>
      </c>
      <c r="I114" s="473">
        <v>701</v>
      </c>
      <c r="J114" s="507"/>
      <c r="K114" s="507"/>
      <c r="L114" s="507"/>
      <c r="M114" s="507" t="s">
        <v>352</v>
      </c>
      <c r="N114" s="507"/>
    </row>
    <row r="115" spans="1:15" ht="15" customHeight="1" x14ac:dyDescent="0.2">
      <c r="A115" s="482">
        <v>152</v>
      </c>
      <c r="B115" s="493">
        <v>57</v>
      </c>
      <c r="C115" s="494" t="s">
        <v>169</v>
      </c>
      <c r="D115" s="482">
        <v>1</v>
      </c>
      <c r="E115" s="495">
        <v>22.635000000000002</v>
      </c>
      <c r="F115" s="495">
        <v>32.734999999999999</v>
      </c>
      <c r="G115" s="495">
        <v>10.099999999999998</v>
      </c>
      <c r="H115" s="470" t="s">
        <v>259</v>
      </c>
      <c r="I115" s="474">
        <v>653</v>
      </c>
      <c r="J115" s="505"/>
      <c r="K115" s="505"/>
      <c r="L115" s="505"/>
      <c r="M115" s="505" t="s">
        <v>352</v>
      </c>
      <c r="N115" s="505"/>
    </row>
    <row r="116" spans="1:15" ht="15" customHeight="1" x14ac:dyDescent="0.2">
      <c r="A116" s="485">
        <v>171</v>
      </c>
      <c r="B116" s="493">
        <v>52</v>
      </c>
      <c r="C116" s="494" t="s">
        <v>249</v>
      </c>
      <c r="D116" s="482">
        <v>1</v>
      </c>
      <c r="E116" s="495">
        <v>11.59</v>
      </c>
      <c r="F116" s="495">
        <v>22.097000000000001</v>
      </c>
      <c r="G116" s="495">
        <v>10.507000000000001</v>
      </c>
      <c r="H116" s="482" t="s">
        <v>178</v>
      </c>
      <c r="I116" s="474">
        <v>1516</v>
      </c>
      <c r="J116" s="505"/>
      <c r="K116" s="505"/>
      <c r="L116" s="505"/>
      <c r="M116" s="505" t="s">
        <v>352</v>
      </c>
      <c r="N116" s="505"/>
    </row>
    <row r="117" spans="1:15" ht="15" customHeight="1" x14ac:dyDescent="0.2">
      <c r="A117" s="482"/>
      <c r="B117" s="493">
        <v>77</v>
      </c>
      <c r="C117" s="494" t="s">
        <v>257</v>
      </c>
      <c r="D117" s="487">
        <v>1</v>
      </c>
      <c r="E117" s="495">
        <v>16.899999999999999</v>
      </c>
      <c r="F117" s="495">
        <v>21.2</v>
      </c>
      <c r="G117" s="495">
        <v>4.3000000000000007</v>
      </c>
      <c r="H117" s="482" t="s">
        <v>241</v>
      </c>
      <c r="I117" s="500">
        <v>1177</v>
      </c>
      <c r="J117" s="507"/>
      <c r="K117" s="507"/>
      <c r="L117" s="507"/>
      <c r="M117" s="507" t="s">
        <v>352</v>
      </c>
      <c r="N117" s="507"/>
    </row>
    <row r="118" spans="1:15" ht="15" customHeight="1" x14ac:dyDescent="0.2">
      <c r="A118" s="485">
        <v>44</v>
      </c>
      <c r="B118" s="493">
        <v>45</v>
      </c>
      <c r="C118" s="494" t="s">
        <v>195</v>
      </c>
      <c r="D118" s="482">
        <v>1</v>
      </c>
      <c r="E118" s="495">
        <v>78.251999999999995</v>
      </c>
      <c r="F118" s="495">
        <v>85.613</v>
      </c>
      <c r="G118" s="495">
        <v>7.3610000000000042</v>
      </c>
      <c r="H118" s="482" t="s">
        <v>184</v>
      </c>
      <c r="I118" s="475" t="s">
        <v>470</v>
      </c>
      <c r="J118" s="505"/>
      <c r="K118" s="505"/>
      <c r="L118" s="505"/>
      <c r="M118" s="505" t="s">
        <v>352</v>
      </c>
      <c r="N118" s="505" t="s">
        <v>352</v>
      </c>
    </row>
    <row r="119" spans="1:15" ht="15" customHeight="1" x14ac:dyDescent="0.2">
      <c r="A119" s="485">
        <v>32</v>
      </c>
      <c r="B119" s="493">
        <v>19278</v>
      </c>
      <c r="C119" s="494" t="s">
        <v>193</v>
      </c>
      <c r="D119" s="482">
        <v>1</v>
      </c>
      <c r="E119" s="495">
        <v>0</v>
      </c>
      <c r="F119" s="495">
        <v>3.6589999999999998</v>
      </c>
      <c r="G119" s="495">
        <v>3.6589999999999998</v>
      </c>
      <c r="H119" s="482" t="s">
        <v>171</v>
      </c>
      <c r="I119" s="474">
        <v>979</v>
      </c>
      <c r="J119" s="507"/>
      <c r="K119" s="507"/>
      <c r="L119" s="507"/>
      <c r="M119" s="507"/>
      <c r="N119" s="507" t="s">
        <v>352</v>
      </c>
    </row>
    <row r="120" spans="1:15" ht="15" customHeight="1" x14ac:dyDescent="0.2">
      <c r="A120" s="485">
        <v>49</v>
      </c>
      <c r="B120" s="493">
        <v>38</v>
      </c>
      <c r="C120" s="494" t="s">
        <v>203</v>
      </c>
      <c r="D120" s="482">
        <v>1</v>
      </c>
      <c r="E120" s="495">
        <v>21.021999999999998</v>
      </c>
      <c r="F120" s="495">
        <v>27.574999999999999</v>
      </c>
      <c r="G120" s="495">
        <v>6.5530000000000008</v>
      </c>
      <c r="H120" s="482" t="s">
        <v>178</v>
      </c>
      <c r="I120" s="474">
        <v>949</v>
      </c>
      <c r="J120" s="505"/>
      <c r="K120" s="505"/>
      <c r="L120" s="505"/>
      <c r="M120" s="505"/>
      <c r="N120" s="505" t="s">
        <v>352</v>
      </c>
    </row>
    <row r="121" spans="1:15" ht="15" customHeight="1" x14ac:dyDescent="0.2">
      <c r="A121" s="485">
        <v>109</v>
      </c>
      <c r="B121" s="493">
        <v>61</v>
      </c>
      <c r="C121" s="494" t="s">
        <v>208</v>
      </c>
      <c r="D121" s="482">
        <v>1</v>
      </c>
      <c r="E121" s="495">
        <v>30.478000000000002</v>
      </c>
      <c r="F121" s="495">
        <v>37.058999999999997</v>
      </c>
      <c r="G121" s="495">
        <v>6.580999999999996</v>
      </c>
      <c r="H121" s="482" t="s">
        <v>166</v>
      </c>
      <c r="I121" s="474">
        <v>3224</v>
      </c>
      <c r="J121" s="505"/>
      <c r="K121" s="505"/>
      <c r="L121" s="505"/>
      <c r="M121" s="505"/>
      <c r="N121" s="505" t="s">
        <v>352</v>
      </c>
    </row>
    <row r="122" spans="1:15" ht="15" customHeight="1" x14ac:dyDescent="0.2">
      <c r="A122" s="485">
        <v>119</v>
      </c>
      <c r="B122" s="493">
        <v>51</v>
      </c>
      <c r="C122" s="494" t="s">
        <v>244</v>
      </c>
      <c r="D122" s="482">
        <v>1</v>
      </c>
      <c r="E122" s="495">
        <v>35.808999999999997</v>
      </c>
      <c r="F122" s="495">
        <v>43.018999999999998</v>
      </c>
      <c r="G122" s="495">
        <v>7.2100000000000009</v>
      </c>
      <c r="H122" s="482" t="s">
        <v>176</v>
      </c>
      <c r="I122" s="474">
        <v>905</v>
      </c>
      <c r="J122" s="505"/>
      <c r="K122" s="505"/>
      <c r="L122" s="505"/>
      <c r="M122" s="505"/>
      <c r="N122" s="505" t="s">
        <v>352</v>
      </c>
    </row>
    <row r="123" spans="1:15" ht="15" customHeight="1" x14ac:dyDescent="0.2">
      <c r="A123" s="485">
        <v>125</v>
      </c>
      <c r="B123" s="493">
        <v>23129</v>
      </c>
      <c r="C123" s="494" t="s">
        <v>246</v>
      </c>
      <c r="D123" s="482">
        <v>1</v>
      </c>
      <c r="E123" s="495">
        <v>12.9</v>
      </c>
      <c r="F123" s="495">
        <v>16.436</v>
      </c>
      <c r="G123" s="495">
        <v>3.5359999999999996</v>
      </c>
      <c r="H123" s="482" t="s">
        <v>192</v>
      </c>
      <c r="I123" s="475" t="s">
        <v>494</v>
      </c>
      <c r="J123" s="507"/>
      <c r="K123" s="507"/>
      <c r="L123" s="507"/>
      <c r="M123" s="507"/>
      <c r="N123" s="507" t="s">
        <v>352</v>
      </c>
    </row>
    <row r="124" spans="1:15" ht="15" customHeight="1" x14ac:dyDescent="0.2">
      <c r="A124" s="485">
        <v>127</v>
      </c>
      <c r="B124" s="493">
        <v>22140</v>
      </c>
      <c r="C124" s="494" t="s">
        <v>248</v>
      </c>
      <c r="D124" s="482">
        <v>1</v>
      </c>
      <c r="E124" s="495">
        <v>0</v>
      </c>
      <c r="F124" s="495">
        <v>6.798</v>
      </c>
      <c r="G124" s="495">
        <v>6.798</v>
      </c>
      <c r="H124" s="482" t="s">
        <v>166</v>
      </c>
      <c r="I124" s="475" t="s">
        <v>496</v>
      </c>
      <c r="J124" s="505"/>
      <c r="K124" s="505"/>
      <c r="L124" s="505"/>
      <c r="M124" s="505"/>
      <c r="N124" s="505" t="s">
        <v>352</v>
      </c>
    </row>
    <row r="125" spans="1:15" ht="15" customHeight="1" x14ac:dyDescent="0.2">
      <c r="A125" s="482">
        <v>128</v>
      </c>
      <c r="B125" s="493">
        <v>62</v>
      </c>
      <c r="C125" s="494" t="s">
        <v>227</v>
      </c>
      <c r="D125" s="482">
        <v>1</v>
      </c>
      <c r="E125" s="495">
        <v>0</v>
      </c>
      <c r="F125" s="495">
        <v>5.0999999999999996</v>
      </c>
      <c r="G125" s="495">
        <v>5.0999999999999996</v>
      </c>
      <c r="H125" s="482" t="s">
        <v>184</v>
      </c>
      <c r="I125" s="474">
        <v>758</v>
      </c>
      <c r="J125" s="505"/>
      <c r="K125" s="505"/>
      <c r="L125" s="505"/>
      <c r="M125" s="505"/>
      <c r="N125" s="505" t="s">
        <v>352</v>
      </c>
    </row>
    <row r="126" spans="1:15" ht="15" customHeight="1" x14ac:dyDescent="0.2">
      <c r="A126" s="485">
        <v>137</v>
      </c>
      <c r="B126" s="493">
        <v>39</v>
      </c>
      <c r="C126" s="494" t="s">
        <v>242</v>
      </c>
      <c r="D126" s="482">
        <v>1</v>
      </c>
      <c r="E126" s="495">
        <v>57.000999999999998</v>
      </c>
      <c r="F126" s="495">
        <v>66.757000000000005</v>
      </c>
      <c r="G126" s="495">
        <v>9.7560000000000073</v>
      </c>
      <c r="H126" s="470" t="s">
        <v>279</v>
      </c>
      <c r="I126" s="474">
        <v>1856</v>
      </c>
      <c r="J126" s="507"/>
      <c r="K126" s="507"/>
      <c r="L126" s="507"/>
      <c r="M126" s="507"/>
      <c r="N126" s="507" t="s">
        <v>352</v>
      </c>
    </row>
    <row r="127" spans="1:15" ht="15" customHeight="1" x14ac:dyDescent="0.2">
      <c r="A127" s="482">
        <v>142</v>
      </c>
      <c r="B127" s="493">
        <v>52</v>
      </c>
      <c r="C127" s="494" t="s">
        <v>249</v>
      </c>
      <c r="D127" s="482">
        <v>1</v>
      </c>
      <c r="E127" s="495">
        <v>28.634</v>
      </c>
      <c r="F127" s="495">
        <v>41.42</v>
      </c>
      <c r="G127" s="495">
        <v>12.786000000000001</v>
      </c>
      <c r="H127" s="482" t="s">
        <v>178</v>
      </c>
      <c r="I127" s="475" t="s">
        <v>501</v>
      </c>
      <c r="J127" s="507"/>
      <c r="K127" s="507"/>
      <c r="L127" s="507"/>
      <c r="M127" s="507"/>
      <c r="N127" s="507" t="s">
        <v>352</v>
      </c>
    </row>
    <row r="128" spans="1:15" ht="15" customHeight="1" x14ac:dyDescent="0.35">
      <c r="A128" s="485">
        <v>145</v>
      </c>
      <c r="B128" s="486">
        <v>14</v>
      </c>
      <c r="C128" s="484" t="s">
        <v>254</v>
      </c>
      <c r="D128" s="487">
        <v>1</v>
      </c>
      <c r="E128" s="483">
        <v>13.194000000000001</v>
      </c>
      <c r="F128" s="483">
        <v>19.05</v>
      </c>
      <c r="G128" s="483">
        <v>5.8559999999999999</v>
      </c>
      <c r="H128" s="487" t="s">
        <v>212</v>
      </c>
      <c r="I128" s="473">
        <v>703</v>
      </c>
      <c r="J128" s="505"/>
      <c r="K128" s="505"/>
      <c r="L128" s="505"/>
      <c r="M128" s="505"/>
      <c r="N128" s="505" t="s">
        <v>352</v>
      </c>
      <c r="O128" s="565" t="s">
        <v>536</v>
      </c>
    </row>
    <row r="129" spans="1:15" ht="15" customHeight="1" x14ac:dyDescent="0.2">
      <c r="A129" s="482">
        <v>146</v>
      </c>
      <c r="B129" s="486">
        <v>25</v>
      </c>
      <c r="C129" s="539" t="s">
        <v>255</v>
      </c>
      <c r="D129" s="487">
        <v>1</v>
      </c>
      <c r="E129" s="508">
        <v>21.2</v>
      </c>
      <c r="F129" s="508">
        <v>25.14</v>
      </c>
      <c r="G129" s="483">
        <v>3.9400000000000013</v>
      </c>
      <c r="H129" s="487" t="s">
        <v>188</v>
      </c>
      <c r="I129" s="471" t="s">
        <v>502</v>
      </c>
      <c r="J129" s="507"/>
      <c r="K129" s="507"/>
      <c r="L129" s="507"/>
      <c r="M129" s="507"/>
      <c r="N129" s="507" t="s">
        <v>352</v>
      </c>
    </row>
    <row r="130" spans="1:15" ht="15" customHeight="1" x14ac:dyDescent="0.2">
      <c r="A130" s="482">
        <v>174</v>
      </c>
      <c r="B130" s="486">
        <v>25</v>
      </c>
      <c r="C130" s="539" t="s">
        <v>255</v>
      </c>
      <c r="D130" s="487">
        <v>1</v>
      </c>
      <c r="E130" s="508">
        <v>0.03</v>
      </c>
      <c r="F130" s="508">
        <v>2.2999999999999998</v>
      </c>
      <c r="G130" s="483">
        <v>2.27</v>
      </c>
      <c r="H130" s="487" t="s">
        <v>188</v>
      </c>
      <c r="I130" s="473">
        <v>855</v>
      </c>
      <c r="J130" s="507"/>
      <c r="K130" s="507"/>
      <c r="L130" s="507"/>
      <c r="M130" s="507"/>
      <c r="N130" s="507" t="s">
        <v>352</v>
      </c>
    </row>
    <row r="131" spans="1:15" ht="15" customHeight="1" x14ac:dyDescent="0.2">
      <c r="A131" s="482">
        <v>148</v>
      </c>
      <c r="B131" s="486">
        <v>11220</v>
      </c>
      <c r="C131" s="484" t="s">
        <v>256</v>
      </c>
      <c r="D131" s="487">
        <v>1</v>
      </c>
      <c r="E131" s="483">
        <v>9.7089999999999996</v>
      </c>
      <c r="F131" s="483">
        <v>13.606999999999999</v>
      </c>
      <c r="G131" s="483">
        <v>3.8979999999999997</v>
      </c>
      <c r="H131" s="487" t="s">
        <v>212</v>
      </c>
      <c r="I131" s="473">
        <v>1053</v>
      </c>
      <c r="J131" s="507"/>
      <c r="K131" s="507"/>
      <c r="L131" s="507"/>
      <c r="M131" s="507"/>
      <c r="N131" s="507" t="s">
        <v>352</v>
      </c>
    </row>
    <row r="132" spans="1:15" ht="15" customHeight="1" x14ac:dyDescent="0.2">
      <c r="A132" s="485">
        <v>149</v>
      </c>
      <c r="B132" s="493">
        <v>77</v>
      </c>
      <c r="C132" s="494" t="s">
        <v>257</v>
      </c>
      <c r="D132" s="482">
        <v>1</v>
      </c>
      <c r="E132" s="495">
        <v>36.238999999999997</v>
      </c>
      <c r="F132" s="495">
        <v>47.442</v>
      </c>
      <c r="G132" s="495">
        <v>11.203000000000003</v>
      </c>
      <c r="H132" s="482" t="s">
        <v>241</v>
      </c>
      <c r="I132" s="474">
        <v>616</v>
      </c>
      <c r="J132" s="507"/>
      <c r="K132" s="507"/>
      <c r="L132" s="507"/>
      <c r="M132" s="507"/>
      <c r="N132" s="507" t="s">
        <v>352</v>
      </c>
    </row>
    <row r="133" spans="1:15" ht="15" customHeight="1" x14ac:dyDescent="0.2">
      <c r="A133" s="485">
        <v>155</v>
      </c>
      <c r="B133" s="486">
        <v>11310</v>
      </c>
      <c r="C133" s="484" t="s">
        <v>260</v>
      </c>
      <c r="D133" s="487">
        <v>1</v>
      </c>
      <c r="E133" s="483">
        <v>11.602</v>
      </c>
      <c r="F133" s="483">
        <v>16.34</v>
      </c>
      <c r="G133" s="483">
        <v>4.7379999999999995</v>
      </c>
      <c r="H133" s="487" t="s">
        <v>168</v>
      </c>
      <c r="I133" s="473">
        <v>1487</v>
      </c>
      <c r="J133" s="507"/>
      <c r="K133" s="507"/>
      <c r="L133" s="507"/>
      <c r="M133" s="507"/>
      <c r="N133" s="507" t="s">
        <v>352</v>
      </c>
    </row>
    <row r="134" spans="1:15" ht="15" customHeight="1" x14ac:dyDescent="0.2">
      <c r="A134" s="485">
        <v>157</v>
      </c>
      <c r="B134" s="486">
        <v>17</v>
      </c>
      <c r="C134" s="484" t="s">
        <v>209</v>
      </c>
      <c r="D134" s="487">
        <v>1</v>
      </c>
      <c r="E134" s="483">
        <v>25.36</v>
      </c>
      <c r="F134" s="483">
        <v>34.793999999999997</v>
      </c>
      <c r="G134" s="483">
        <v>9.4339999999999975</v>
      </c>
      <c r="H134" s="487" t="s">
        <v>168</v>
      </c>
      <c r="I134" s="473">
        <v>619</v>
      </c>
      <c r="J134" s="505"/>
      <c r="K134" s="505"/>
      <c r="L134" s="505"/>
      <c r="M134" s="505"/>
      <c r="N134" s="505" t="s">
        <v>352</v>
      </c>
    </row>
    <row r="135" spans="1:15" ht="15" customHeight="1" x14ac:dyDescent="0.2">
      <c r="A135" s="482">
        <v>158</v>
      </c>
      <c r="B135" s="486">
        <v>13116</v>
      </c>
      <c r="C135" s="484" t="s">
        <v>261</v>
      </c>
      <c r="D135" s="487">
        <v>1</v>
      </c>
      <c r="E135" s="483">
        <v>0</v>
      </c>
      <c r="F135" s="483">
        <v>1.41</v>
      </c>
      <c r="G135" s="483">
        <v>1.41</v>
      </c>
      <c r="H135" s="487" t="s">
        <v>164</v>
      </c>
      <c r="I135" s="471" t="s">
        <v>504</v>
      </c>
      <c r="J135" s="507"/>
      <c r="K135" s="507"/>
      <c r="L135" s="507"/>
      <c r="M135" s="507"/>
      <c r="N135" s="507" t="s">
        <v>352</v>
      </c>
    </row>
    <row r="136" spans="1:15" ht="15" customHeight="1" x14ac:dyDescent="0.35">
      <c r="A136" s="482">
        <v>162</v>
      </c>
      <c r="B136" s="486">
        <v>39</v>
      </c>
      <c r="C136" s="539" t="s">
        <v>242</v>
      </c>
      <c r="D136" s="487">
        <v>1</v>
      </c>
      <c r="E136" s="508">
        <v>93.100999999999999</v>
      </c>
      <c r="F136" s="508">
        <v>93.733000000000004</v>
      </c>
      <c r="G136" s="508">
        <v>0.632000000000005</v>
      </c>
      <c r="H136" s="487" t="s">
        <v>188</v>
      </c>
      <c r="I136" s="473">
        <v>888</v>
      </c>
      <c r="J136" s="507"/>
      <c r="K136" s="507"/>
      <c r="L136" s="507"/>
      <c r="M136" s="507"/>
      <c r="N136" s="507" t="s">
        <v>352</v>
      </c>
      <c r="O136" s="566" t="s">
        <v>537</v>
      </c>
    </row>
    <row r="137" spans="1:15" ht="15" customHeight="1" x14ac:dyDescent="0.2">
      <c r="A137" s="485">
        <v>167</v>
      </c>
      <c r="B137" s="486">
        <v>39</v>
      </c>
      <c r="C137" s="539" t="s">
        <v>242</v>
      </c>
      <c r="D137" s="487">
        <v>1</v>
      </c>
      <c r="E137" s="508">
        <v>94.707999999999998</v>
      </c>
      <c r="F137" s="508">
        <v>96.04</v>
      </c>
      <c r="G137" s="508">
        <v>1.3320000000000078</v>
      </c>
      <c r="H137" s="487" t="s">
        <v>188</v>
      </c>
      <c r="I137" s="471" t="s">
        <v>506</v>
      </c>
      <c r="J137" s="507"/>
      <c r="K137" s="507"/>
      <c r="L137" s="507"/>
      <c r="M137" s="507"/>
      <c r="N137" s="507" t="s">
        <v>352</v>
      </c>
    </row>
    <row r="138" spans="1:15" ht="15" customHeight="1" x14ac:dyDescent="0.2">
      <c r="A138" s="485">
        <v>163</v>
      </c>
      <c r="B138" s="486">
        <v>20117</v>
      </c>
      <c r="C138" s="484" t="s">
        <v>262</v>
      </c>
      <c r="D138" s="487">
        <v>1</v>
      </c>
      <c r="E138" s="483">
        <v>6.3979999999999997</v>
      </c>
      <c r="F138" s="483">
        <v>10.779</v>
      </c>
      <c r="G138" s="483">
        <v>4.3810000000000002</v>
      </c>
      <c r="H138" s="487" t="s">
        <v>212</v>
      </c>
      <c r="I138" s="473">
        <v>1065</v>
      </c>
      <c r="J138" s="507"/>
      <c r="K138" s="507"/>
      <c r="L138" s="507"/>
      <c r="M138" s="507"/>
      <c r="N138" s="507" t="s">
        <v>352</v>
      </c>
    </row>
    <row r="139" spans="1:15" ht="15" customHeight="1" x14ac:dyDescent="0.2">
      <c r="A139" s="485">
        <v>165</v>
      </c>
      <c r="B139" s="486">
        <v>11245</v>
      </c>
      <c r="C139" s="484" t="s">
        <v>263</v>
      </c>
      <c r="D139" s="487">
        <v>1</v>
      </c>
      <c r="E139" s="483">
        <v>0</v>
      </c>
      <c r="F139" s="483">
        <v>1</v>
      </c>
      <c r="G139" s="483">
        <v>1</v>
      </c>
      <c r="H139" s="487" t="s">
        <v>168</v>
      </c>
      <c r="I139" s="471" t="s">
        <v>505</v>
      </c>
      <c r="J139" s="507"/>
      <c r="K139" s="507"/>
      <c r="L139" s="507"/>
      <c r="M139" s="507"/>
      <c r="N139" s="507" t="s">
        <v>352</v>
      </c>
    </row>
    <row r="140" spans="1:15" ht="15" customHeight="1" x14ac:dyDescent="0.2">
      <c r="A140" s="485">
        <v>173</v>
      </c>
      <c r="B140" s="486">
        <v>11332</v>
      </c>
      <c r="C140" s="484" t="s">
        <v>265</v>
      </c>
      <c r="D140" s="487">
        <v>1</v>
      </c>
      <c r="E140" s="483">
        <v>0</v>
      </c>
      <c r="F140" s="483">
        <v>0.93</v>
      </c>
      <c r="G140" s="483">
        <v>0.93</v>
      </c>
      <c r="H140" s="487" t="s">
        <v>168</v>
      </c>
      <c r="I140" s="473">
        <v>1784</v>
      </c>
      <c r="J140" s="507"/>
      <c r="K140" s="507"/>
      <c r="L140" s="507"/>
      <c r="M140" s="507"/>
      <c r="N140" s="507" t="s">
        <v>352</v>
      </c>
    </row>
    <row r="141" spans="1:15" ht="15" customHeight="1" x14ac:dyDescent="0.2">
      <c r="A141" s="485">
        <v>177</v>
      </c>
      <c r="B141" s="486">
        <v>11304</v>
      </c>
      <c r="C141" s="484" t="s">
        <v>266</v>
      </c>
      <c r="D141" s="487">
        <v>1</v>
      </c>
      <c r="E141" s="483">
        <v>7.5999999999999998E-2</v>
      </c>
      <c r="F141" s="483">
        <v>2</v>
      </c>
      <c r="G141" s="483">
        <v>1.9239999999999999</v>
      </c>
      <c r="H141" s="487" t="s">
        <v>168</v>
      </c>
      <c r="I141" s="473">
        <v>1427</v>
      </c>
      <c r="J141" s="507"/>
      <c r="K141" s="507"/>
      <c r="L141" s="507"/>
      <c r="M141" s="507"/>
      <c r="N141" s="507" t="s">
        <v>352</v>
      </c>
    </row>
    <row r="142" spans="1:15" ht="15" customHeight="1" x14ac:dyDescent="0.2">
      <c r="A142" s="485">
        <v>181</v>
      </c>
      <c r="B142" s="486">
        <v>22</v>
      </c>
      <c r="C142" s="484" t="s">
        <v>267</v>
      </c>
      <c r="D142" s="487">
        <v>1</v>
      </c>
      <c r="E142" s="483">
        <v>25.887</v>
      </c>
      <c r="F142" s="483">
        <v>27.440999999999999</v>
      </c>
      <c r="G142" s="483">
        <v>1.5539999999999985</v>
      </c>
      <c r="H142" s="487" t="s">
        <v>198</v>
      </c>
      <c r="I142" s="471" t="s">
        <v>507</v>
      </c>
      <c r="J142" s="507"/>
      <c r="K142" s="507"/>
      <c r="L142" s="507"/>
      <c r="M142" s="507"/>
      <c r="N142" s="507" t="s">
        <v>352</v>
      </c>
    </row>
    <row r="143" spans="1:15" ht="15" customHeight="1" x14ac:dyDescent="0.2">
      <c r="A143" s="482">
        <v>182</v>
      </c>
      <c r="B143" s="486">
        <v>85</v>
      </c>
      <c r="C143" s="484" t="s">
        <v>268</v>
      </c>
      <c r="D143" s="487">
        <v>1</v>
      </c>
      <c r="E143" s="483">
        <v>10.999000000000001</v>
      </c>
      <c r="F143" s="483">
        <v>15.491</v>
      </c>
      <c r="G143" s="483">
        <v>4.4919999999999991</v>
      </c>
      <c r="H143" s="487" t="s">
        <v>168</v>
      </c>
      <c r="I143" s="473">
        <v>1494</v>
      </c>
      <c r="J143" s="507"/>
      <c r="K143" s="507"/>
      <c r="L143" s="507"/>
      <c r="M143" s="507"/>
      <c r="N143" s="507" t="s">
        <v>352</v>
      </c>
    </row>
  </sheetData>
  <autoFilter ref="A2:N143" xr:uid="{00000000-0009-0000-0000-00001E000000}"/>
  <mergeCells count="4">
    <mergeCell ref="O108:O109"/>
    <mergeCell ref="A3:I3"/>
    <mergeCell ref="O53:Q56"/>
    <mergeCell ref="O83:O85"/>
  </mergeCells>
  <pageMargins left="0.7" right="0.7" top="0.75" bottom="0.75" header="0.3" footer="0.3"/>
  <pageSetup paperSize="9" orientation="portrait" r:id="rId1"/>
  <customProperties>
    <customPr name="EpmWorksheetKeyString_GUID" r:id="rId2"/>
  </customPropertie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Y30"/>
  <sheetViews>
    <sheetView workbookViewId="0">
      <selection activeCell="B20" sqref="B20"/>
    </sheetView>
  </sheetViews>
  <sheetFormatPr defaultRowHeight="14.5" x14ac:dyDescent="0.35"/>
  <cols>
    <col min="1" max="1" width="45.81640625" bestFit="1" customWidth="1"/>
  </cols>
  <sheetData>
    <row r="1" spans="1:15" ht="30.75" customHeight="1" x14ac:dyDescent="0.35">
      <c r="A1" s="21"/>
      <c r="B1">
        <f>+'THK 16-21 ettepanek'!B19</f>
        <v>2014</v>
      </c>
      <c r="C1" s="110">
        <f>+'THK 16-21 ettepanek'!C19</f>
        <v>2015</v>
      </c>
      <c r="D1" s="110">
        <f>+'THK 16-21 ettepanek'!D19</f>
        <v>2016</v>
      </c>
      <c r="E1" s="110">
        <f>+'THK 16-21 ettepanek'!E19</f>
        <v>2017</v>
      </c>
      <c r="F1" s="110">
        <f>+'THK 16-21 ettepanek'!F19</f>
        <v>2018</v>
      </c>
      <c r="G1" s="110">
        <f>+'THK 16-21 ettepanek'!G19</f>
        <v>2019</v>
      </c>
      <c r="H1" s="110">
        <f>+'THK 16-21 ettepanek'!H19</f>
        <v>2020</v>
      </c>
      <c r="I1" s="110">
        <f>+'THK 16-21 ettepanek'!R19</f>
        <v>2021</v>
      </c>
      <c r="J1" s="110">
        <f>+'THK 16-21 ettepanek'!S19</f>
        <v>2022</v>
      </c>
      <c r="K1" s="110">
        <f>+'THK 16-21 ettepanek'!T19</f>
        <v>2023</v>
      </c>
      <c r="L1" s="110">
        <f>+'THK 16-21 ettepanek'!U19</f>
        <v>2024</v>
      </c>
      <c r="M1" s="110">
        <f>+'THK 16-21 ettepanek'!V19</f>
        <v>2025</v>
      </c>
      <c r="N1" s="110">
        <f>+'THK 16-21 ettepanek'!W19</f>
        <v>2026</v>
      </c>
      <c r="O1" s="110">
        <f>+'THK 16-21 ettepanek'!X19</f>
        <v>2027</v>
      </c>
    </row>
    <row r="2" spans="1:15" ht="30.75" customHeight="1" x14ac:dyDescent="0.35">
      <c r="A2" s="30" t="s">
        <v>31</v>
      </c>
      <c r="B2" s="110">
        <f>+'THK 16-21 ettepanek'!B28</f>
        <v>43208.5</v>
      </c>
      <c r="C2" s="110">
        <f>+'THK 16-21 ettepanek'!C28</f>
        <v>60490.399999999994</v>
      </c>
      <c r="D2" s="110">
        <f>+'THK 16-21 ettepanek'!D28</f>
        <v>49379.5</v>
      </c>
      <c r="E2" s="110">
        <f>+'THK 16-21 ettepanek'!E28</f>
        <v>42737.999999999993</v>
      </c>
      <c r="F2" s="110">
        <f>+'THK 16-21 ettepanek'!F28</f>
        <v>58817.150021405403</v>
      </c>
      <c r="G2" s="110">
        <f>+'THK 16-21 ettepanek'!G28</f>
        <v>63935.999999999985</v>
      </c>
      <c r="H2" s="110">
        <f>+'THK 16-21 ettepanek'!H28</f>
        <v>57590</v>
      </c>
      <c r="I2" s="110">
        <f>+'THK 16-21 ettepanek'!R28</f>
        <v>58741.8</v>
      </c>
      <c r="J2" s="110">
        <f>+'THK 16-21 ettepanek'!S28</f>
        <v>59916.636000000006</v>
      </c>
      <c r="K2" s="110">
        <f>+'THK 16-21 ettepanek'!T28</f>
        <v>61114.968720000004</v>
      </c>
      <c r="L2" s="110">
        <f>+'THK 16-21 ettepanek'!U28</f>
        <v>62337.268094400002</v>
      </c>
      <c r="M2" s="110">
        <f>+'THK 16-21 ettepanek'!V28</f>
        <v>63584.013456288005</v>
      </c>
      <c r="N2" s="110">
        <f>+'THK 16-21 ettepanek'!W28</f>
        <v>64855.693725413767</v>
      </c>
      <c r="O2" s="110">
        <f>+'THK 16-21 ettepanek'!X28</f>
        <v>66152.807599922045</v>
      </c>
    </row>
    <row r="3" spans="1:15" ht="30.75" customHeight="1" x14ac:dyDescent="0.35">
      <c r="A3" s="6" t="s">
        <v>23</v>
      </c>
      <c r="B3" s="110">
        <f>+'THK 16-21 ettepanek'!B20</f>
        <v>48555</v>
      </c>
      <c r="C3" s="110">
        <f>+'THK 16-21 ettepanek'!C20</f>
        <v>50376</v>
      </c>
      <c r="D3" s="110">
        <f>+'THK 16-21 ettepanek'!D20</f>
        <v>48623</v>
      </c>
      <c r="E3" s="110">
        <f>+'THK 16-21 ettepanek'!E20</f>
        <v>48081.69</v>
      </c>
      <c r="F3" s="110">
        <f>+'THK 16-21 ettepanek'!F20</f>
        <v>49000</v>
      </c>
      <c r="G3" s="110">
        <f>+'THK 16-21 ettepanek'!G20</f>
        <v>50225</v>
      </c>
      <c r="H3" s="110">
        <f>+'THK 16-21 ettepanek'!H20</f>
        <v>51480</v>
      </c>
      <c r="I3" s="110">
        <f>+'THK 16-21 ettepanek'!R20</f>
        <v>54050</v>
      </c>
      <c r="J3" s="110">
        <f>+'THK 16-21 ettepanek'!S20</f>
        <v>55400</v>
      </c>
      <c r="K3" s="110">
        <f>+'THK 16-21 ettepanek'!T20</f>
        <v>56784.999999999993</v>
      </c>
      <c r="L3" s="110">
        <f>+'THK 16-21 ettepanek'!U20</f>
        <v>58204.624999999985</v>
      </c>
      <c r="M3" s="110">
        <f>+'THK 16-21 ettepanek'!V20</f>
        <v>59659.740624999977</v>
      </c>
      <c r="N3" s="110">
        <f>+'THK 16-21 ettepanek'!W20</f>
        <v>61151.234140624969</v>
      </c>
      <c r="O3" s="110">
        <f>+'THK 16-21 ettepanek'!X20</f>
        <v>62680.014994140591</v>
      </c>
    </row>
    <row r="4" spans="1:15" ht="30.75" customHeight="1" x14ac:dyDescent="0.35">
      <c r="A4" s="197" t="s">
        <v>344</v>
      </c>
      <c r="B4" s="90">
        <f>+'THK 16-21 ettepanek'!B40+'THK 16-21 ettepanek'!B41+'THK 16-21 ettepanek'!B39</f>
        <v>43635</v>
      </c>
      <c r="C4" s="90">
        <f>+'THK 16-21 ettepanek'!C40+'THK 16-21 ettepanek'!C41+'THK 16-21 ettepanek'!C39</f>
        <v>40248.894015294129</v>
      </c>
      <c r="D4" s="90">
        <f>+'THK 16-21 ettepanek'!D40+'THK 16-21 ettepanek'!D41+'THK 16-21 ettepanek'!D39</f>
        <v>36061</v>
      </c>
      <c r="E4" s="90">
        <f>+'THK 16-21 ettepanek'!E40+'THK 16-21 ettepanek'!E41+'THK 16-21 ettepanek'!E39</f>
        <v>59423</v>
      </c>
      <c r="F4" s="90">
        <f>+'THK 16-21 ettepanek'!F40+'THK 16-21 ettepanek'!F41+'THK 16-21 ettepanek'!F39</f>
        <v>61000</v>
      </c>
      <c r="G4" s="90">
        <f>+'THK 16-21 ettepanek'!G40+'THK 16-21 ettepanek'!G41+'THK 16-21 ettepanek'!G39</f>
        <v>21000</v>
      </c>
      <c r="H4" s="90">
        <f>+'THK 16-21 ettepanek'!H40+'THK 16-21 ettepanek'!H41+'THK 16-21 ettepanek'!H39</f>
        <v>66368.7</v>
      </c>
      <c r="I4" s="90">
        <f>+'THK 16-21 ettepanek'!R40+'THK 16-21 ettepanek'!R41+'THK 16-21 ettepanek'!R39</f>
        <v>74000</v>
      </c>
      <c r="J4" s="90">
        <f>+'THK 16-21 ettepanek'!S40+'THK 16-21 ettepanek'!S41+'THK 16-21 ettepanek'!S39</f>
        <v>77000</v>
      </c>
      <c r="K4" s="90">
        <f>+'THK 16-21 ettepanek'!T40+'THK 16-21 ettepanek'!T41+'THK 16-21 ettepanek'!T39</f>
        <v>85000</v>
      </c>
      <c r="L4" s="90">
        <f>+'THK 16-21 ettepanek'!U40+'THK 16-21 ettepanek'!U41+'THK 16-21 ettepanek'!U39</f>
        <v>40000</v>
      </c>
      <c r="M4" s="90">
        <f>+'THK 16-21 ettepanek'!V40+'THK 16-21 ettepanek'!V41+'THK 16-21 ettepanek'!V39</f>
        <v>40000</v>
      </c>
      <c r="N4" s="90">
        <f>+'THK 16-21 ettepanek'!W40+'THK 16-21 ettepanek'!W41+'THK 16-21 ettepanek'!W39</f>
        <v>40000</v>
      </c>
      <c r="O4" s="90">
        <f>+'THK 16-21 ettepanek'!X40+'THK 16-21 ettepanek'!X41+'THK 16-21 ettepanek'!X39+0.0000001</f>
        <v>35000.000000100001</v>
      </c>
    </row>
    <row r="5" spans="1:15" ht="30.75" customHeight="1" x14ac:dyDescent="0.35">
      <c r="A5" s="30" t="s">
        <v>40</v>
      </c>
      <c r="B5" s="110">
        <f>+'THK 16-21 ettepanek'!B39</f>
        <v>43635</v>
      </c>
      <c r="C5" s="110">
        <f>+'THK 16-21 ettepanek'!C39</f>
        <v>40248.894015294129</v>
      </c>
      <c r="D5" s="110">
        <f>+'THK 16-21 ettepanek'!D39</f>
        <v>36061</v>
      </c>
      <c r="E5" s="110">
        <f>+'THK 16-21 ettepanek'!E39</f>
        <v>59423</v>
      </c>
      <c r="F5" s="110">
        <f>+'THK 16-21 ettepanek'!F39</f>
        <v>61000</v>
      </c>
      <c r="G5" s="110">
        <f>+'THK 16-21 ettepanek'!G39</f>
        <v>11000</v>
      </c>
      <c r="H5" s="110">
        <f>+'THK 16-21 ettepanek'!H39</f>
        <v>24368.7</v>
      </c>
      <c r="I5" s="110">
        <f>+'THK 16-21 ettepanek'!R39</f>
        <v>34000</v>
      </c>
      <c r="J5" s="110">
        <f>+'THK 16-21 ettepanek'!S39</f>
        <v>37000</v>
      </c>
      <c r="K5" s="110">
        <f>+'THK 16-21 ettepanek'!T39</f>
        <v>45000</v>
      </c>
      <c r="L5" s="110">
        <f>+'THK 16-21 ettepanek'!U39</f>
        <v>40000</v>
      </c>
      <c r="M5" s="110">
        <f>+'THK 16-21 ettepanek'!V39</f>
        <v>40000</v>
      </c>
      <c r="N5" s="110">
        <f>+'THK 16-21 ettepanek'!W39</f>
        <v>40000</v>
      </c>
      <c r="O5" s="110">
        <f>+'THK 16-21 ettepanek'!X39</f>
        <v>35000</v>
      </c>
    </row>
    <row r="6" spans="1:15" ht="30.75" customHeight="1" x14ac:dyDescent="0.35">
      <c r="A6" s="106" t="s">
        <v>346</v>
      </c>
      <c r="B6" s="110">
        <f>+'THK 16-21 ettepanek'!B45</f>
        <v>21574</v>
      </c>
      <c r="C6" s="110">
        <f>+'THK 16-21 ettepanek'!C45</f>
        <v>22113.35</v>
      </c>
      <c r="D6" s="110">
        <f>+'THK 16-21 ettepanek'!D45</f>
        <v>24693</v>
      </c>
      <c r="E6" s="110">
        <f>+'THK 16-21 ettepanek'!E45</f>
        <v>25352</v>
      </c>
      <c r="F6" s="110">
        <f>+'THK 16-21 ettepanek'!F45</f>
        <v>25989</v>
      </c>
      <c r="G6" s="110">
        <f>+'THK 16-21 ettepanek'!G45</f>
        <v>25989</v>
      </c>
      <c r="H6" s="110">
        <f>+'THK 16-21 ettepanek'!H45</f>
        <v>26638.724999999999</v>
      </c>
      <c r="I6" s="110">
        <f>+'THK 16-21 ettepanek'!R45</f>
        <v>27171.499499999998</v>
      </c>
      <c r="J6" s="110">
        <f>+'THK 16-21 ettepanek'!S45</f>
        <v>27714.929489999999</v>
      </c>
      <c r="K6" s="110">
        <f>+'THK 16-21 ettepanek'!T45</f>
        <v>28269.228079799999</v>
      </c>
      <c r="L6" s="110">
        <f>+'THK 16-21 ettepanek'!U45</f>
        <v>28834.612641396001</v>
      </c>
      <c r="M6" s="110">
        <f>+'THK 16-21 ettepanek'!V45</f>
        <v>29411.304894223922</v>
      </c>
      <c r="N6" s="110">
        <f>+'THK 16-21 ettepanek'!W45</f>
        <v>29999.530992108401</v>
      </c>
      <c r="O6" s="110">
        <f>+'THK 16-21 ettepanek'!X45</f>
        <v>30599.521611950568</v>
      </c>
    </row>
    <row r="7" spans="1:15" ht="30.75" customHeight="1" x14ac:dyDescent="0.35">
      <c r="A7" s="1" t="s">
        <v>26</v>
      </c>
      <c r="B7" s="110">
        <f>+'THK 16-21 ettepanek'!B23</f>
        <v>27500</v>
      </c>
      <c r="C7" s="110">
        <f>+'THK 16-21 ettepanek'!C23</f>
        <v>22788.499999999996</v>
      </c>
      <c r="D7" s="110">
        <f>+'THK 16-21 ettepanek'!D23</f>
        <v>23000</v>
      </c>
      <c r="E7" s="110">
        <f>+'THK 16-21 ettepanek'!E23</f>
        <v>23000</v>
      </c>
      <c r="F7" s="110">
        <f>+'THK 16-21 ettepanek'!F23</f>
        <v>23574.999999999996</v>
      </c>
      <c r="G7" s="110">
        <f>+'THK 16-21 ettepanek'!G23</f>
        <v>24164.374999999993</v>
      </c>
      <c r="H7" s="110">
        <f>+'THK 16-21 ettepanek'!H23</f>
        <v>24768.484374999989</v>
      </c>
      <c r="I7" s="110">
        <f>+'THK 16-21 ettepanek'!R23</f>
        <v>25263.854062499988</v>
      </c>
      <c r="J7" s="110">
        <f>+'THK 16-21 ettepanek'!S23</f>
        <v>25769.131143749986</v>
      </c>
      <c r="K7" s="110">
        <f>+'THK 16-21 ettepanek'!T23</f>
        <v>26284.513766624987</v>
      </c>
      <c r="L7" s="110">
        <f>+'THK 16-21 ettepanek'!U23</f>
        <v>26810.204041957488</v>
      </c>
      <c r="M7" s="110">
        <f>+'THK 16-21 ettepanek'!V23</f>
        <v>27346.408122796638</v>
      </c>
      <c r="N7" s="110">
        <f>+'THK 16-21 ettepanek'!W23</f>
        <v>27893.336285252572</v>
      </c>
      <c r="O7" s="110">
        <f>+'THK 16-21 ettepanek'!X23</f>
        <v>28451.203010957623</v>
      </c>
    </row>
    <row r="8" spans="1:15" ht="30.75" customHeight="1" x14ac:dyDescent="0.35">
      <c r="A8" s="1" t="s">
        <v>139</v>
      </c>
      <c r="B8" s="110">
        <f>+'THK 16-21 ettepanek'!B22</f>
        <v>22301</v>
      </c>
      <c r="C8" s="110">
        <f>+'THK 16-21 ettepanek'!C22</f>
        <v>18841.916761176471</v>
      </c>
      <c r="D8" s="110">
        <f>+'THK 16-21 ettepanek'!D22</f>
        <v>20000</v>
      </c>
      <c r="E8" s="110">
        <f>+'THK 16-21 ettepanek'!E22</f>
        <v>20000</v>
      </c>
      <c r="F8" s="110">
        <f>+'THK 16-21 ettepanek'!F22</f>
        <v>20500</v>
      </c>
      <c r="G8" s="110">
        <f>+'THK 16-21 ettepanek'!G22</f>
        <v>21012.499999999996</v>
      </c>
      <c r="H8" s="110">
        <f>+'THK 16-21 ettepanek'!H22</f>
        <v>21537.812499999993</v>
      </c>
      <c r="I8" s="110">
        <f>+'THK 16-21 ettepanek'!R22</f>
        <v>21968.568749999991</v>
      </c>
      <c r="J8" s="110">
        <f>+'THK 16-21 ettepanek'!S22</f>
        <v>22407.94012499999</v>
      </c>
      <c r="K8" s="110">
        <f>+'THK 16-21 ettepanek'!T22</f>
        <v>22856.098927499992</v>
      </c>
      <c r="L8" s="110">
        <f>+'THK 16-21 ettepanek'!U22</f>
        <v>23313.220906049992</v>
      </c>
      <c r="M8" s="110">
        <f>+'THK 16-21 ettepanek'!V22</f>
        <v>23779.485324170993</v>
      </c>
      <c r="N8" s="110">
        <f>+'THK 16-21 ettepanek'!W22</f>
        <v>24255.075030654414</v>
      </c>
      <c r="O8" s="110">
        <f>+'THK 16-21 ettepanek'!X22</f>
        <v>24740.176531267502</v>
      </c>
    </row>
    <row r="9" spans="1:15" ht="30.75" customHeight="1" x14ac:dyDescent="0.35">
      <c r="A9" s="30" t="s">
        <v>36</v>
      </c>
      <c r="B9" s="110">
        <f>+'THK 16-21 ettepanek'!B34</f>
        <v>4000</v>
      </c>
      <c r="C9" s="110">
        <f>+'THK 16-21 ettepanek'!C34</f>
        <v>3000</v>
      </c>
      <c r="D9" s="110">
        <f>+'THK 16-21 ettepanek'!D34</f>
        <v>10771</v>
      </c>
      <c r="E9" s="110">
        <f>+'THK 16-21 ettepanek'!E34</f>
        <v>9345</v>
      </c>
      <c r="F9" s="110">
        <f>+'THK 16-21 ettepanek'!F34</f>
        <v>10000</v>
      </c>
      <c r="G9" s="110">
        <f>+'THK 16-21 ettepanek'!G34</f>
        <v>10000</v>
      </c>
      <c r="H9" s="110">
        <f>+'THK 16-21 ettepanek'!H34</f>
        <v>10000</v>
      </c>
      <c r="I9" s="110">
        <f>+'THK 16-21 ettepanek'!R34</f>
        <v>10200</v>
      </c>
      <c r="J9" s="110">
        <f>+'THK 16-21 ettepanek'!S34</f>
        <v>10404</v>
      </c>
      <c r="K9" s="110">
        <f>+'THK 16-21 ettepanek'!T34</f>
        <v>10612.08</v>
      </c>
      <c r="L9" s="110">
        <f>+'THK 16-21 ettepanek'!U34</f>
        <v>10824.321599999999</v>
      </c>
      <c r="M9" s="110">
        <f>+'THK 16-21 ettepanek'!V34</f>
        <v>11040.808031999999</v>
      </c>
      <c r="N9" s="110">
        <f>+'THK 16-21 ettepanek'!W34</f>
        <v>11261.62419264</v>
      </c>
      <c r="O9" s="110">
        <f>+'THK 16-21 ettepanek'!X34</f>
        <v>11486.8566764928</v>
      </c>
    </row>
    <row r="10" spans="1:15" ht="30.75" customHeight="1" x14ac:dyDescent="0.35">
      <c r="A10" s="9" t="s">
        <v>24</v>
      </c>
      <c r="B10" s="110">
        <f>+'THK 16-21 ettepanek'!B21</f>
        <v>6180</v>
      </c>
      <c r="C10" s="110">
        <f>+'THK 16-21 ettepanek'!C21</f>
        <v>6334.4999999999991</v>
      </c>
      <c r="D10" s="110">
        <f>+'THK 16-21 ettepanek'!D21</f>
        <v>8493</v>
      </c>
      <c r="E10" s="110">
        <f>+'THK 16-21 ettepanek'!E21</f>
        <v>8500</v>
      </c>
      <c r="F10" s="110">
        <f>+'THK 16-21 ettepanek'!F21</f>
        <v>9024</v>
      </c>
      <c r="G10" s="110">
        <f>+'THK 16-21 ettepanek'!G21</f>
        <v>8777</v>
      </c>
      <c r="H10" s="110">
        <f>+'THK 16-21 ettepanek'!H21</f>
        <v>9060</v>
      </c>
      <c r="I10" s="110">
        <f>+'THK 16-21 ettepanek'!R21</f>
        <v>9241.2000000000007</v>
      </c>
      <c r="J10" s="110">
        <f>+'THK 16-21 ettepanek'!S21</f>
        <v>9426.0240000000013</v>
      </c>
      <c r="K10" s="110">
        <f>+'THK 16-21 ettepanek'!T21</f>
        <v>9614.5444800000023</v>
      </c>
      <c r="L10" s="110">
        <f>+'THK 16-21 ettepanek'!U21</f>
        <v>9806.8353696000031</v>
      </c>
      <c r="M10" s="110">
        <f>+'THK 16-21 ettepanek'!V21</f>
        <v>10002.972076992004</v>
      </c>
      <c r="N10" s="110">
        <f>+'THK 16-21 ettepanek'!W21</f>
        <v>10203.031518531845</v>
      </c>
      <c r="O10" s="110">
        <f>+'THK 16-21 ettepanek'!X21</f>
        <v>10407.092148902482</v>
      </c>
    </row>
    <row r="11" spans="1:15" ht="30.75" customHeight="1" x14ac:dyDescent="0.35">
      <c r="A11" s="111" t="s">
        <v>35</v>
      </c>
      <c r="B11" s="110">
        <f>+'THK 16-21 ettepanek'!B33</f>
        <v>7000</v>
      </c>
      <c r="C11" s="110">
        <f>+'THK 16-21 ettepanek'!C33</f>
        <v>5000</v>
      </c>
      <c r="D11" s="110">
        <f>+'THK 16-21 ettepanek'!D33</f>
        <v>9550</v>
      </c>
      <c r="E11" s="110">
        <f>+'THK 16-21 ettepanek'!E33</f>
        <v>9000</v>
      </c>
      <c r="F11" s="110">
        <f>+'THK 16-21 ettepanek'!F33</f>
        <v>9000</v>
      </c>
      <c r="G11" s="110">
        <f>+'THK 16-21 ettepanek'!G33</f>
        <v>9000</v>
      </c>
      <c r="H11" s="110">
        <f>+'THK 16-21 ettepanek'!H33</f>
        <v>9000</v>
      </c>
      <c r="I11" s="110">
        <f>+'THK 16-21 ettepanek'!R33</f>
        <v>9180</v>
      </c>
      <c r="J11" s="110">
        <f>+'THK 16-21 ettepanek'!S33</f>
        <v>9363.6</v>
      </c>
      <c r="K11" s="110">
        <f>+'THK 16-21 ettepanek'!T33</f>
        <v>9550.8720000000012</v>
      </c>
      <c r="L11" s="110">
        <f>+'THK 16-21 ettepanek'!U33</f>
        <v>9741.8894400000008</v>
      </c>
      <c r="M11" s="110">
        <f>+'THK 16-21 ettepanek'!V33</f>
        <v>9936.7272288000004</v>
      </c>
      <c r="N11" s="110">
        <f>+'THK 16-21 ettepanek'!W33</f>
        <v>10135.461773376001</v>
      </c>
      <c r="O11" s="110">
        <f>+'THK 16-21 ettepanek'!X33</f>
        <v>10338.171008843521</v>
      </c>
    </row>
    <row r="12" spans="1:15" ht="30.75" customHeight="1" x14ac:dyDescent="0.35">
      <c r="A12" s="111" t="s">
        <v>140</v>
      </c>
      <c r="B12" s="110">
        <f>+'THK 16-21 ettepanek'!B24</f>
        <v>8629</v>
      </c>
      <c r="C12" s="110">
        <f>+'THK 16-21 ettepanek'!C24</f>
        <v>6844.7250000000004</v>
      </c>
      <c r="D12" s="110">
        <f>+'THK 16-21 ettepanek'!D24</f>
        <v>7000</v>
      </c>
      <c r="E12" s="110">
        <f>+'THK 16-21 ettepanek'!E24</f>
        <v>7174.9999999999991</v>
      </c>
      <c r="F12" s="110">
        <f>+'THK 16-21 ettepanek'!F24</f>
        <v>7354.3749999999982</v>
      </c>
      <c r="G12" s="110">
        <f>+'THK 16-21 ettepanek'!G24</f>
        <v>7538.2343749999973</v>
      </c>
      <c r="H12" s="110">
        <f>+'THK 16-21 ettepanek'!H24</f>
        <v>7726.6902343749962</v>
      </c>
      <c r="I12" s="110">
        <f>+'THK 16-21 ettepanek'!R24</f>
        <v>7881.2240390624966</v>
      </c>
      <c r="J12" s="110">
        <f>+'THK 16-21 ettepanek'!S24</f>
        <v>8038.8485198437465</v>
      </c>
      <c r="K12" s="110">
        <f>+'THK 16-21 ettepanek'!T24</f>
        <v>8199.6254902406217</v>
      </c>
      <c r="L12" s="110">
        <f>+'THK 16-21 ettepanek'!U24</f>
        <v>8363.6180000454351</v>
      </c>
      <c r="M12" s="110">
        <f>+'THK 16-21 ettepanek'!V24</f>
        <v>8530.8903600463436</v>
      </c>
      <c r="N12" s="110">
        <f>+'THK 16-21 ettepanek'!W24</f>
        <v>8701.5081672472716</v>
      </c>
      <c r="O12" s="110">
        <f>+'THK 16-21 ettepanek'!X24</f>
        <v>8875.5383305922169</v>
      </c>
    </row>
    <row r="13" spans="1:15" ht="30.75" customHeight="1" x14ac:dyDescent="0.35">
      <c r="A13" s="105" t="s">
        <v>33</v>
      </c>
      <c r="B13" s="110">
        <f>+'THK 16-21 ettepanek'!B31</f>
        <v>5000</v>
      </c>
      <c r="C13" s="110">
        <f>+'THK 16-21 ettepanek'!C31</f>
        <v>5000</v>
      </c>
      <c r="D13" s="110">
        <f>+'THK 16-21 ettepanek'!D31</f>
        <v>4500</v>
      </c>
      <c r="E13" s="110">
        <f>+'THK 16-21 ettepanek'!E31</f>
        <v>4612.5</v>
      </c>
      <c r="F13" s="110">
        <f>+'THK 16-21 ettepanek'!F31</f>
        <v>4727.8125</v>
      </c>
      <c r="G13" s="110">
        <f>+'THK 16-21 ettepanek'!G31</f>
        <v>4846.0078125</v>
      </c>
      <c r="H13" s="110">
        <f>+'THK 16-21 ettepanek'!H31</f>
        <v>4967.1580078124998</v>
      </c>
      <c r="I13" s="110">
        <f>+'THK 16-21 ettepanek'!R31</f>
        <v>5066.5011679687495</v>
      </c>
      <c r="J13" s="110">
        <f>+'THK 16-21 ettepanek'!S31</f>
        <v>5167.831191328125</v>
      </c>
      <c r="K13" s="110">
        <f>+'THK 16-21 ettepanek'!T31</f>
        <v>5271.187815154688</v>
      </c>
      <c r="L13" s="110">
        <f>+'THK 16-21 ettepanek'!U31</f>
        <v>5376.6115714577818</v>
      </c>
      <c r="M13" s="110">
        <f>+'THK 16-21 ettepanek'!V31</f>
        <v>5484.1438028869379</v>
      </c>
      <c r="N13" s="110">
        <f>+'THK 16-21 ettepanek'!W31</f>
        <v>5593.826678944677</v>
      </c>
      <c r="O13" s="110">
        <f>+'THK 16-21 ettepanek'!X31</f>
        <v>5705.703212523571</v>
      </c>
    </row>
    <row r="14" spans="1:15" ht="30.75" customHeight="1" x14ac:dyDescent="0.35">
      <c r="A14" s="111" t="s">
        <v>34</v>
      </c>
      <c r="B14" s="110">
        <f>+'THK 16-21 ettepanek'!B32</f>
        <v>500</v>
      </c>
      <c r="C14" s="110">
        <f>+'THK 16-21 ettepanek'!C32</f>
        <v>500</v>
      </c>
      <c r="D14" s="110">
        <f>+'THK 16-21 ettepanek'!D32</f>
        <v>1000</v>
      </c>
      <c r="E14" s="110">
        <f>+'THK 16-21 ettepanek'!E32</f>
        <v>735</v>
      </c>
      <c r="F14" s="110">
        <f>+'THK 16-21 ettepanek'!F32</f>
        <v>500.25</v>
      </c>
      <c r="G14" s="110">
        <f>+'THK 16-21 ettepanek'!G32</f>
        <v>500.25</v>
      </c>
      <c r="H14" s="110">
        <f>+'THK 16-21 ettepanek'!H32</f>
        <v>500.25</v>
      </c>
      <c r="I14" s="110">
        <f>+'THK 16-21 ettepanek'!R32</f>
        <v>510.255</v>
      </c>
      <c r="J14" s="110">
        <f>+'THK 16-21 ettepanek'!S32</f>
        <v>520.46010000000001</v>
      </c>
      <c r="K14" s="110">
        <f>+'THK 16-21 ettepanek'!T32</f>
        <v>530.86930200000006</v>
      </c>
      <c r="L14" s="110">
        <f>+'THK 16-21 ettepanek'!U32</f>
        <v>541.4866880400001</v>
      </c>
      <c r="M14" s="110">
        <f>+'THK 16-21 ettepanek'!V32</f>
        <v>552.31642180080007</v>
      </c>
      <c r="N14" s="110">
        <f>+'THK 16-21 ettepanek'!W32</f>
        <v>563.36275023681605</v>
      </c>
      <c r="O14" s="110">
        <f>+'THK 16-21 ettepanek'!X32</f>
        <v>574.63000524155234</v>
      </c>
    </row>
    <row r="24" spans="1:25" x14ac:dyDescent="0.35">
      <c r="A24" s="21"/>
      <c r="B24" s="110">
        <f>+'THK 16-21 ettepanek'!B19</f>
        <v>2014</v>
      </c>
      <c r="C24" s="110">
        <f>+'THK 16-21 ettepanek'!C19</f>
        <v>2015</v>
      </c>
      <c r="D24" s="110">
        <f>+'THK 16-21 ettepanek'!D19</f>
        <v>2016</v>
      </c>
      <c r="E24" s="110">
        <f>+'THK 16-21 ettepanek'!E19</f>
        <v>2017</v>
      </c>
      <c r="F24" s="110">
        <f>+'THK 16-21 ettepanek'!F19</f>
        <v>2018</v>
      </c>
      <c r="G24" s="110">
        <f>+'THK 16-21 ettepanek'!G19</f>
        <v>2019</v>
      </c>
      <c r="H24" s="110">
        <f>+'THK 16-21 ettepanek'!H19</f>
        <v>2020</v>
      </c>
      <c r="I24" s="110">
        <f>+'THK 16-21 ettepanek'!R19</f>
        <v>2021</v>
      </c>
      <c r="J24" s="110">
        <f>+'THK 16-21 ettepanek'!S19</f>
        <v>2022</v>
      </c>
      <c r="K24" s="110">
        <f>+'THK 16-21 ettepanek'!T19</f>
        <v>2023</v>
      </c>
      <c r="L24" s="110">
        <f>+'THK 16-21 ettepanek'!U19</f>
        <v>2024</v>
      </c>
      <c r="M24" s="110">
        <f>+'THK 16-21 ettepanek'!V19</f>
        <v>2025</v>
      </c>
      <c r="N24" s="110">
        <f>+'THK 16-21 ettepanek'!W19</f>
        <v>2026</v>
      </c>
      <c r="O24" s="110">
        <f>+'THK 16-21 ettepanek'!X19</f>
        <v>2027</v>
      </c>
      <c r="P24" s="110"/>
      <c r="Q24" s="110"/>
    </row>
    <row r="25" spans="1:25" x14ac:dyDescent="0.35">
      <c r="A25" t="str">
        <f>+'THK 16-21 ettepanek'!A47</f>
        <v>TEEHOIUTÖÖD KOKKU</v>
      </c>
      <c r="B25" s="90">
        <f>+'THK 16-21 ettepanek'!B47</f>
        <v>238082.5</v>
      </c>
      <c r="C25" s="90">
        <f>+'THK 16-21 ettepanek'!C47</f>
        <v>241538.28577647061</v>
      </c>
      <c r="D25" s="90">
        <f>+'THK 16-21 ettepanek'!D47</f>
        <v>243070.5</v>
      </c>
      <c r="E25" s="90">
        <f>+'THK 16-21 ettepanek'!E47</f>
        <v>257962.19</v>
      </c>
      <c r="F25" s="90">
        <f>+'THK 16-21 ettepanek'!F47</f>
        <v>279487.58752140542</v>
      </c>
      <c r="G25" s="90">
        <f>+'THK 16-21 ettepanek'!G47</f>
        <v>246988.36718749997</v>
      </c>
      <c r="H25" s="90">
        <f>+'THK 16-21 ettepanek'!H47</f>
        <v>289637.82011718745</v>
      </c>
      <c r="I25" s="90">
        <f>+'THK 16-21 ettepanek'!R47</f>
        <v>303274.9025195312</v>
      </c>
      <c r="J25" s="90">
        <f>+'THK 16-21 ettepanek'!S47</f>
        <v>311129.40056992188</v>
      </c>
      <c r="K25" s="90">
        <f>+'THK 16-21 ettepanek'!T47</f>
        <v>324088.98858132027</v>
      </c>
      <c r="L25" s="90">
        <f>+'THK 16-21 ettepanek'!U47</f>
        <v>284154.69335294666</v>
      </c>
      <c r="M25" s="90">
        <f>+'THK 16-21 ettepanek'!V47</f>
        <v>289328.81034500559</v>
      </c>
      <c r="N25" s="90">
        <f>+'THK 16-21 ettepanek'!W47</f>
        <v>294613.68525503069</v>
      </c>
      <c r="O25" s="90">
        <f>+'THK 16-21 ettepanek'!X47</f>
        <v>295011.71513083449</v>
      </c>
      <c r="P25" s="110"/>
      <c r="Q25" s="110"/>
    </row>
    <row r="26" spans="1:25" x14ac:dyDescent="0.35">
      <c r="A26" t="str">
        <f>+'THK 16-21 ettepanek'!A48</f>
        <v>s.h. RES maksutulust</v>
      </c>
      <c r="B26" s="90">
        <f>+'THK 16-21 ettepanek'!B48</f>
        <v>191849.52100000001</v>
      </c>
      <c r="C26" s="90">
        <f>+'THK 16-21 ettepanek'!C48</f>
        <v>175744.78</v>
      </c>
      <c r="D26" s="90">
        <f>+'THK 16-21 ettepanek'!D48</f>
        <v>208348</v>
      </c>
      <c r="E26" s="90">
        <f>+'THK 16-21 ettepanek'!E48</f>
        <v>209937.19</v>
      </c>
      <c r="F26" s="90">
        <f>+'THK 16-21 ettepanek'!F48</f>
        <v>227637.58752140542</v>
      </c>
      <c r="G26" s="90">
        <f>+'THK 16-21 ettepanek'!G48</f>
        <v>227638.36718749997</v>
      </c>
      <c r="H26" s="90">
        <f>+'THK 16-21 ettepanek'!H48</f>
        <v>247637.82011718745</v>
      </c>
      <c r="I26" s="90">
        <f>+'THK 16-21 ettepanek'!R48</f>
        <v>263274.9025195312</v>
      </c>
      <c r="J26" s="90">
        <f>+'THK 16-21 ettepanek'!S48</f>
        <v>271129.40056992188</v>
      </c>
      <c r="K26" s="90">
        <f>+'THK 16-21 ettepanek'!T48</f>
        <v>284088.98858132027</v>
      </c>
      <c r="L26" s="90">
        <f>+'THK 16-21 ettepanek'!U48</f>
        <v>284154.69335294666</v>
      </c>
      <c r="M26" s="90">
        <f>+'THK 16-21 ettepanek'!V48</f>
        <v>289328.81034500559</v>
      </c>
      <c r="N26" s="90">
        <f>+'THK 16-21 ettepanek'!W48</f>
        <v>294613.68525503069</v>
      </c>
      <c r="O26" s="90">
        <f>+'THK 16-21 ettepanek'!X48</f>
        <v>295011.71513083449</v>
      </c>
      <c r="P26" s="110"/>
      <c r="Q26" s="110"/>
    </row>
    <row r="27" spans="1:25" x14ac:dyDescent="0.35">
      <c r="A27" t="str">
        <f>+'THK 16-21 ettepanek'!A29</f>
        <v>Teedevõrgu säilitamine KOKKU</v>
      </c>
      <c r="B27" s="90">
        <f>+'THK 16-21 ettepanek'!B29</f>
        <v>156373.5</v>
      </c>
      <c r="C27" s="90">
        <f>+'THK 16-21 ettepanek'!C29</f>
        <v>165676.04176117649</v>
      </c>
      <c r="D27" s="90">
        <f>+'THK 16-21 ettepanek'!D29</f>
        <v>156495.5</v>
      </c>
      <c r="E27" s="90">
        <f>+'THK 16-21 ettepanek'!E29</f>
        <v>149494.69</v>
      </c>
      <c r="F27" s="90">
        <f>+'THK 16-21 ettepanek'!F29</f>
        <v>168270.5250214054</v>
      </c>
      <c r="G27" s="90">
        <f>+'THK 16-21 ettepanek'!G29</f>
        <v>175653.10937499997</v>
      </c>
      <c r="H27" s="90">
        <f>+'THK 16-21 ettepanek'!H29</f>
        <v>172162.98710937498</v>
      </c>
      <c r="I27" s="90">
        <f>+'THK 16-21 ettepanek'!R29</f>
        <v>177146.64685156249</v>
      </c>
      <c r="J27" s="90">
        <f>+'THK 16-21 ettepanek'!S29</f>
        <v>180958.57978859375</v>
      </c>
      <c r="K27" s="90">
        <f>+'THK 16-21 ettepanek'!T29</f>
        <v>184854.75138436558</v>
      </c>
      <c r="L27" s="90">
        <f>+'THK 16-21 ettepanek'!U29</f>
        <v>188835.77141205291</v>
      </c>
      <c r="M27" s="90">
        <f>+'THK 16-21 ettepanek'!V29</f>
        <v>192903.50996529395</v>
      </c>
      <c r="N27" s="90">
        <f>+'THK 16-21 ettepanek'!W29</f>
        <v>197059.87886772482</v>
      </c>
      <c r="O27" s="90">
        <f>+'THK 16-21 ettepanek'!X29</f>
        <v>201306.83261578245</v>
      </c>
      <c r="P27" s="110"/>
      <c r="Q27" s="110"/>
    </row>
    <row r="28" spans="1:25" x14ac:dyDescent="0.35">
      <c r="A28" t="str">
        <f>+'THK 16-21 ettepanek'!A42</f>
        <v>Teedevõrgu arendamine KOKKU</v>
      </c>
      <c r="B28" s="90">
        <f>+'THK 16-21 ettepanek'!B42</f>
        <v>60135</v>
      </c>
      <c r="C28" s="90">
        <f>+'THK 16-21 ettepanek'!C42</f>
        <v>53748.894015294129</v>
      </c>
      <c r="D28" s="90">
        <f>+'THK 16-21 ettepanek'!D42</f>
        <v>61882</v>
      </c>
      <c r="E28" s="90">
        <f>+'THK 16-21 ettepanek'!E42</f>
        <v>83115.5</v>
      </c>
      <c r="F28" s="90">
        <f>+'THK 16-21 ettepanek'!F42</f>
        <v>85228.0625</v>
      </c>
      <c r="G28" s="90">
        <f>+'THK 16-21 ettepanek'!G42</f>
        <v>45346.2578125</v>
      </c>
      <c r="H28" s="90">
        <f>+'THK 16-21 ettepanek'!H42</f>
        <v>90836.108007812494</v>
      </c>
      <c r="I28" s="90">
        <f>+'THK 16-21 ettepanek'!R42</f>
        <v>98956.75616796875</v>
      </c>
      <c r="J28" s="90">
        <f>+'THK 16-21 ettepanek'!S42</f>
        <v>102455.89129132812</v>
      </c>
      <c r="K28" s="90">
        <f>+'THK 16-21 ettepanek'!T42</f>
        <v>110965.0091171547</v>
      </c>
      <c r="L28" s="90">
        <f>+'THK 16-21 ettepanek'!U42</f>
        <v>66484.309299497778</v>
      </c>
      <c r="M28" s="90">
        <f>+'THK 16-21 ettepanek'!V42</f>
        <v>67013.995485487743</v>
      </c>
      <c r="N28" s="90">
        <f>+'THK 16-21 ettepanek'!W42</f>
        <v>67554.275395197488</v>
      </c>
      <c r="O28" s="90">
        <f>+'THK 16-21 ettepanek'!X42</f>
        <v>63105.360903101442</v>
      </c>
      <c r="P28" s="90"/>
      <c r="Q28" s="90"/>
      <c r="Y28" s="90"/>
    </row>
    <row r="29" spans="1:25" x14ac:dyDescent="0.35">
      <c r="A29" t="s">
        <v>345</v>
      </c>
      <c r="B29" s="90">
        <f>'THK 16-21 ettepanek'!B42-'THK 16-21 ettepanek'!B41-'THK 16-21 ettepanek'!B40</f>
        <v>60135</v>
      </c>
      <c r="C29" s="90">
        <f>'THK 16-21 ettepanek'!C42-'THK 16-21 ettepanek'!C41-'THK 16-21 ettepanek'!C40</f>
        <v>53748.894015294129</v>
      </c>
      <c r="D29" s="90">
        <f>'THK 16-21 ettepanek'!D42-'THK 16-21 ettepanek'!D41-'THK 16-21 ettepanek'!D40</f>
        <v>61882</v>
      </c>
      <c r="E29" s="90">
        <f>'THK 16-21 ettepanek'!E42-'THK 16-21 ettepanek'!E41-'THK 16-21 ettepanek'!E40</f>
        <v>83115.5</v>
      </c>
      <c r="F29" s="90">
        <f>'THK 16-21 ettepanek'!F42-'THK 16-21 ettepanek'!F41-'THK 16-21 ettepanek'!F40</f>
        <v>85228.0625</v>
      </c>
      <c r="G29" s="90">
        <f>'THK 16-21 ettepanek'!G42-'THK 16-21 ettepanek'!G41-'THK 16-21 ettepanek'!G40</f>
        <v>35346.2578125</v>
      </c>
      <c r="H29" s="90">
        <f>'THK 16-21 ettepanek'!H42-'THK 16-21 ettepanek'!H41-'THK 16-21 ettepanek'!H40</f>
        <v>48836.108007812494</v>
      </c>
      <c r="I29" s="90">
        <f>'THK 16-21 ettepanek'!R42-'THK 16-21 ettepanek'!R41-'THK 16-21 ettepanek'!R40</f>
        <v>58956.75616796875</v>
      </c>
      <c r="J29" s="90">
        <f>'THK 16-21 ettepanek'!S42-'THK 16-21 ettepanek'!S41-'THK 16-21 ettepanek'!S40</f>
        <v>62455.891291328124</v>
      </c>
      <c r="K29" s="90">
        <f>'THK 16-21 ettepanek'!T42-'THK 16-21 ettepanek'!T41-'THK 16-21 ettepanek'!T40</f>
        <v>70965.009117154696</v>
      </c>
      <c r="L29" s="90">
        <f>'THK 16-21 ettepanek'!U42-'THK 16-21 ettepanek'!U41-'THK 16-21 ettepanek'!U40</f>
        <v>66484.309299497778</v>
      </c>
      <c r="M29" s="90">
        <f>'THK 16-21 ettepanek'!V42-'THK 16-21 ettepanek'!V41-'THK 16-21 ettepanek'!V40</f>
        <v>67013.995485487743</v>
      </c>
      <c r="N29" s="90">
        <f>'THK 16-21 ettepanek'!W42-'THK 16-21 ettepanek'!W41-'THK 16-21 ettepanek'!W40</f>
        <v>67554.275395197488</v>
      </c>
      <c r="O29" s="90">
        <f>'THK 16-21 ettepanek'!X42-'THK 16-21 ettepanek'!X41-'THK 16-21 ettepanek'!X40</f>
        <v>63105.360903101442</v>
      </c>
      <c r="P29" s="110"/>
      <c r="Q29" s="110"/>
      <c r="Y29" s="110"/>
    </row>
    <row r="30" spans="1:25" x14ac:dyDescent="0.35">
      <c r="A30" s="110" t="str">
        <f>+'THK 16-21 ettepanek'!A45</f>
        <v>Administreerimine KOKKU</v>
      </c>
      <c r="B30" s="90">
        <f>+'THK 16-21 ettepanek'!B45</f>
        <v>21574</v>
      </c>
      <c r="C30" s="90">
        <f>+'THK 16-21 ettepanek'!C45</f>
        <v>22113.35</v>
      </c>
      <c r="D30" s="90">
        <f>+'THK 16-21 ettepanek'!D45</f>
        <v>24693</v>
      </c>
      <c r="E30" s="90">
        <f>+'THK 16-21 ettepanek'!E45</f>
        <v>25352</v>
      </c>
      <c r="F30" s="90">
        <f>+'THK 16-21 ettepanek'!F45</f>
        <v>25989</v>
      </c>
      <c r="G30" s="90">
        <f>+'THK 16-21 ettepanek'!G45</f>
        <v>25989</v>
      </c>
      <c r="H30" s="90">
        <f>+'THK 16-21 ettepanek'!H45</f>
        <v>26638.724999999999</v>
      </c>
      <c r="I30" s="90">
        <f>+'THK 16-21 ettepanek'!R45</f>
        <v>27171.499499999998</v>
      </c>
      <c r="J30" s="90">
        <f>+'THK 16-21 ettepanek'!S45</f>
        <v>27714.929489999999</v>
      </c>
      <c r="K30" s="90">
        <f>+'THK 16-21 ettepanek'!T45</f>
        <v>28269.228079799999</v>
      </c>
      <c r="L30" s="90">
        <f>+'THK 16-21 ettepanek'!U45</f>
        <v>28834.612641396001</v>
      </c>
      <c r="M30" s="90">
        <f>+'THK 16-21 ettepanek'!V45</f>
        <v>29411.304894223922</v>
      </c>
      <c r="N30" s="90">
        <f>+'THK 16-21 ettepanek'!W45</f>
        <v>29999.530992108401</v>
      </c>
      <c r="O30" s="90">
        <f>+'THK 16-21 ettepanek'!X45</f>
        <v>30599.521611950568</v>
      </c>
      <c r="P30" s="90"/>
      <c r="Q30" s="90"/>
      <c r="Y30" s="90"/>
    </row>
  </sheetData>
  <autoFilter ref="A1:Y1" xr:uid="{00000000-0009-0000-0000-00001F000000}">
    <sortState xmlns:xlrd2="http://schemas.microsoft.com/office/spreadsheetml/2017/richdata2" ref="A2:Y14">
      <sortCondition descending="1" ref="O1"/>
    </sortState>
  </autoFilter>
  <pageMargins left="0.7" right="0.7" top="0.75" bottom="0.75" header="0.3" footer="0.3"/>
  <pageSetup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Z80"/>
  <sheetViews>
    <sheetView zoomScaleNormal="100" workbookViewId="0">
      <pane xSplit="1" ySplit="5" topLeftCell="G6" activePane="bottomRight" state="frozen"/>
      <selection activeCell="A52" sqref="A52"/>
      <selection pane="topRight" activeCell="A52" sqref="A52"/>
      <selection pane="bottomLeft" activeCell="A52" sqref="A52"/>
      <selection pane="bottomRight" activeCell="R26" sqref="R26"/>
    </sheetView>
  </sheetViews>
  <sheetFormatPr defaultColWidth="14.7265625" defaultRowHeight="13" outlineLevelCol="1" x14ac:dyDescent="0.3"/>
  <cols>
    <col min="1" max="1" width="31.453125" style="1212" customWidth="1"/>
    <col min="2" max="2" width="9.26953125" style="1293" hidden="1" customWidth="1"/>
    <col min="3" max="4" width="6.26953125" style="1293" hidden="1" customWidth="1"/>
    <col min="5" max="6" width="6.26953125" style="1294" hidden="1" customWidth="1"/>
    <col min="7" max="10" width="6.26953125" style="1294" customWidth="1"/>
    <col min="11" max="11" width="6.54296875" style="1294" bestFit="1" customWidth="1"/>
    <col min="12" max="12" width="6.54296875" style="1294" customWidth="1" outlineLevel="1"/>
    <col min="13" max="19" width="7.54296875" style="1294" customWidth="1" outlineLevel="1"/>
    <col min="20" max="20" width="70.81640625" style="1360" bestFit="1" customWidth="1"/>
    <col min="21" max="23" width="7.54296875" style="1266" bestFit="1" customWidth="1"/>
    <col min="24" max="24" width="19.7265625" style="1266" customWidth="1"/>
    <col min="25" max="25" width="6.81640625" style="1215" customWidth="1"/>
    <col min="26" max="252" width="8.7265625" style="1215" customWidth="1"/>
    <col min="253" max="253" width="39.7265625" style="1215" customWidth="1"/>
    <col min="254" max="256" width="6.1796875" style="1215" customWidth="1"/>
    <col min="257" max="257" width="8.453125" style="1215" bestFit="1" customWidth="1"/>
    <col min="258" max="258" width="12.54296875" style="1215" bestFit="1" customWidth="1"/>
    <col min="259" max="259" width="27.26953125" style="1215" bestFit="1" customWidth="1"/>
    <col min="260" max="260" width="9.1796875" style="1215" customWidth="1"/>
    <col min="261" max="261" width="14.7265625" style="1215"/>
    <col min="262" max="262" width="32.81640625" style="1215" customWidth="1"/>
    <col min="263" max="266" width="5.54296875" style="1215" customWidth="1"/>
    <col min="267" max="267" width="7" style="1215" customWidth="1"/>
    <col min="268" max="275" width="5.54296875" style="1215" customWidth="1"/>
    <col min="276" max="276" width="55" style="1215" customWidth="1"/>
    <col min="277" max="277" width="8.7265625" style="1215" customWidth="1"/>
    <col min="278" max="278" width="8.1796875" style="1215" customWidth="1"/>
    <col min="279" max="279" width="7.1796875" style="1215" customWidth="1"/>
    <col min="280" max="280" width="16.54296875" style="1215" bestFit="1" customWidth="1"/>
    <col min="281" max="281" width="18.54296875" style="1215" customWidth="1"/>
    <col min="282" max="508" width="8.7265625" style="1215" customWidth="1"/>
    <col min="509" max="509" width="39.7265625" style="1215" customWidth="1"/>
    <col min="510" max="512" width="6.1796875" style="1215" customWidth="1"/>
    <col min="513" max="513" width="8.453125" style="1215" bestFit="1" customWidth="1"/>
    <col min="514" max="514" width="12.54296875" style="1215" bestFit="1" customWidth="1"/>
    <col min="515" max="515" width="27.26953125" style="1215" bestFit="1" customWidth="1"/>
    <col min="516" max="516" width="9.1796875" style="1215" customWidth="1"/>
    <col min="517" max="517" width="14.7265625" style="1215"/>
    <col min="518" max="518" width="32.81640625" style="1215" customWidth="1"/>
    <col min="519" max="522" width="5.54296875" style="1215" customWidth="1"/>
    <col min="523" max="523" width="7" style="1215" customWidth="1"/>
    <col min="524" max="531" width="5.54296875" style="1215" customWidth="1"/>
    <col min="532" max="532" width="55" style="1215" customWidth="1"/>
    <col min="533" max="533" width="8.7265625" style="1215" customWidth="1"/>
    <col min="534" max="534" width="8.1796875" style="1215" customWidth="1"/>
    <col min="535" max="535" width="7.1796875" style="1215" customWidth="1"/>
    <col min="536" max="536" width="16.54296875" style="1215" bestFit="1" customWidth="1"/>
    <col min="537" max="537" width="18.54296875" style="1215" customWidth="1"/>
    <col min="538" max="764" width="8.7265625" style="1215" customWidth="1"/>
    <col min="765" max="765" width="39.7265625" style="1215" customWidth="1"/>
    <col min="766" max="768" width="6.1796875" style="1215" customWidth="1"/>
    <col min="769" max="769" width="8.453125" style="1215" bestFit="1" customWidth="1"/>
    <col min="770" max="770" width="12.54296875" style="1215" bestFit="1" customWidth="1"/>
    <col min="771" max="771" width="27.26953125" style="1215" bestFit="1" customWidth="1"/>
    <col min="772" max="772" width="9.1796875" style="1215" customWidth="1"/>
    <col min="773" max="773" width="14.7265625" style="1215"/>
    <col min="774" max="774" width="32.81640625" style="1215" customWidth="1"/>
    <col min="775" max="778" width="5.54296875" style="1215" customWidth="1"/>
    <col min="779" max="779" width="7" style="1215" customWidth="1"/>
    <col min="780" max="787" width="5.54296875" style="1215" customWidth="1"/>
    <col min="788" max="788" width="55" style="1215" customWidth="1"/>
    <col min="789" max="789" width="8.7265625" style="1215" customWidth="1"/>
    <col min="790" max="790" width="8.1796875" style="1215" customWidth="1"/>
    <col min="791" max="791" width="7.1796875" style="1215" customWidth="1"/>
    <col min="792" max="792" width="16.54296875" style="1215" bestFit="1" customWidth="1"/>
    <col min="793" max="793" width="18.54296875" style="1215" customWidth="1"/>
    <col min="794" max="1020" width="8.7265625" style="1215" customWidth="1"/>
    <col min="1021" max="1021" width="39.7265625" style="1215" customWidth="1"/>
    <col min="1022" max="1024" width="6.1796875" style="1215" customWidth="1"/>
    <col min="1025" max="1025" width="8.453125" style="1215" bestFit="1" customWidth="1"/>
    <col min="1026" max="1026" width="12.54296875" style="1215" bestFit="1" customWidth="1"/>
    <col min="1027" max="1027" width="27.26953125" style="1215" bestFit="1" customWidth="1"/>
    <col min="1028" max="1028" width="9.1796875" style="1215" customWidth="1"/>
    <col min="1029" max="1029" width="14.7265625" style="1215"/>
    <col min="1030" max="1030" width="32.81640625" style="1215" customWidth="1"/>
    <col min="1031" max="1034" width="5.54296875" style="1215" customWidth="1"/>
    <col min="1035" max="1035" width="7" style="1215" customWidth="1"/>
    <col min="1036" max="1043" width="5.54296875" style="1215" customWidth="1"/>
    <col min="1044" max="1044" width="55" style="1215" customWidth="1"/>
    <col min="1045" max="1045" width="8.7265625" style="1215" customWidth="1"/>
    <col min="1046" max="1046" width="8.1796875" style="1215" customWidth="1"/>
    <col min="1047" max="1047" width="7.1796875" style="1215" customWidth="1"/>
    <col min="1048" max="1048" width="16.54296875" style="1215" bestFit="1" customWidth="1"/>
    <col min="1049" max="1049" width="18.54296875" style="1215" customWidth="1"/>
    <col min="1050" max="1276" width="8.7265625" style="1215" customWidth="1"/>
    <col min="1277" max="1277" width="39.7265625" style="1215" customWidth="1"/>
    <col min="1278" max="1280" width="6.1796875" style="1215" customWidth="1"/>
    <col min="1281" max="1281" width="8.453125" style="1215" bestFit="1" customWidth="1"/>
    <col min="1282" max="1282" width="12.54296875" style="1215" bestFit="1" customWidth="1"/>
    <col min="1283" max="1283" width="27.26953125" style="1215" bestFit="1" customWidth="1"/>
    <col min="1284" max="1284" width="9.1796875" style="1215" customWidth="1"/>
    <col min="1285" max="1285" width="14.7265625" style="1215"/>
    <col min="1286" max="1286" width="32.81640625" style="1215" customWidth="1"/>
    <col min="1287" max="1290" width="5.54296875" style="1215" customWidth="1"/>
    <col min="1291" max="1291" width="7" style="1215" customWidth="1"/>
    <col min="1292" max="1299" width="5.54296875" style="1215" customWidth="1"/>
    <col min="1300" max="1300" width="55" style="1215" customWidth="1"/>
    <col min="1301" max="1301" width="8.7265625" style="1215" customWidth="1"/>
    <col min="1302" max="1302" width="8.1796875" style="1215" customWidth="1"/>
    <col min="1303" max="1303" width="7.1796875" style="1215" customWidth="1"/>
    <col min="1304" max="1304" width="16.54296875" style="1215" bestFit="1" customWidth="1"/>
    <col min="1305" max="1305" width="18.54296875" style="1215" customWidth="1"/>
    <col min="1306" max="1532" width="8.7265625" style="1215" customWidth="1"/>
    <col min="1533" max="1533" width="39.7265625" style="1215" customWidth="1"/>
    <col min="1534" max="1536" width="6.1796875" style="1215" customWidth="1"/>
    <col min="1537" max="1537" width="8.453125" style="1215" bestFit="1" customWidth="1"/>
    <col min="1538" max="1538" width="12.54296875" style="1215" bestFit="1" customWidth="1"/>
    <col min="1539" max="1539" width="27.26953125" style="1215" bestFit="1" customWidth="1"/>
    <col min="1540" max="1540" width="9.1796875" style="1215" customWidth="1"/>
    <col min="1541" max="1541" width="14.7265625" style="1215"/>
    <col min="1542" max="1542" width="32.81640625" style="1215" customWidth="1"/>
    <col min="1543" max="1546" width="5.54296875" style="1215" customWidth="1"/>
    <col min="1547" max="1547" width="7" style="1215" customWidth="1"/>
    <col min="1548" max="1555" width="5.54296875" style="1215" customWidth="1"/>
    <col min="1556" max="1556" width="55" style="1215" customWidth="1"/>
    <col min="1557" max="1557" width="8.7265625" style="1215" customWidth="1"/>
    <col min="1558" max="1558" width="8.1796875" style="1215" customWidth="1"/>
    <col min="1559" max="1559" width="7.1796875" style="1215" customWidth="1"/>
    <col min="1560" max="1560" width="16.54296875" style="1215" bestFit="1" customWidth="1"/>
    <col min="1561" max="1561" width="18.54296875" style="1215" customWidth="1"/>
    <col min="1562" max="1788" width="8.7265625" style="1215" customWidth="1"/>
    <col min="1789" max="1789" width="39.7265625" style="1215" customWidth="1"/>
    <col min="1790" max="1792" width="6.1796875" style="1215" customWidth="1"/>
    <col min="1793" max="1793" width="8.453125" style="1215" bestFit="1" customWidth="1"/>
    <col min="1794" max="1794" width="12.54296875" style="1215" bestFit="1" customWidth="1"/>
    <col min="1795" max="1795" width="27.26953125" style="1215" bestFit="1" customWidth="1"/>
    <col min="1796" max="1796" width="9.1796875" style="1215" customWidth="1"/>
    <col min="1797" max="1797" width="14.7265625" style="1215"/>
    <col min="1798" max="1798" width="32.81640625" style="1215" customWidth="1"/>
    <col min="1799" max="1802" width="5.54296875" style="1215" customWidth="1"/>
    <col min="1803" max="1803" width="7" style="1215" customWidth="1"/>
    <col min="1804" max="1811" width="5.54296875" style="1215" customWidth="1"/>
    <col min="1812" max="1812" width="55" style="1215" customWidth="1"/>
    <col min="1813" max="1813" width="8.7265625" style="1215" customWidth="1"/>
    <col min="1814" max="1814" width="8.1796875" style="1215" customWidth="1"/>
    <col min="1815" max="1815" width="7.1796875" style="1215" customWidth="1"/>
    <col min="1816" max="1816" width="16.54296875" style="1215" bestFit="1" customWidth="1"/>
    <col min="1817" max="1817" width="18.54296875" style="1215" customWidth="1"/>
    <col min="1818" max="2044" width="8.7265625" style="1215" customWidth="1"/>
    <col min="2045" max="2045" width="39.7265625" style="1215" customWidth="1"/>
    <col min="2046" max="2048" width="6.1796875" style="1215" customWidth="1"/>
    <col min="2049" max="2049" width="8.453125" style="1215" bestFit="1" customWidth="1"/>
    <col min="2050" max="2050" width="12.54296875" style="1215" bestFit="1" customWidth="1"/>
    <col min="2051" max="2051" width="27.26953125" style="1215" bestFit="1" customWidth="1"/>
    <col min="2052" max="2052" width="9.1796875" style="1215" customWidth="1"/>
    <col min="2053" max="2053" width="14.7265625" style="1215"/>
    <col min="2054" max="2054" width="32.81640625" style="1215" customWidth="1"/>
    <col min="2055" max="2058" width="5.54296875" style="1215" customWidth="1"/>
    <col min="2059" max="2059" width="7" style="1215" customWidth="1"/>
    <col min="2060" max="2067" width="5.54296875" style="1215" customWidth="1"/>
    <col min="2068" max="2068" width="55" style="1215" customWidth="1"/>
    <col min="2069" max="2069" width="8.7265625" style="1215" customWidth="1"/>
    <col min="2070" max="2070" width="8.1796875" style="1215" customWidth="1"/>
    <col min="2071" max="2071" width="7.1796875" style="1215" customWidth="1"/>
    <col min="2072" max="2072" width="16.54296875" style="1215" bestFit="1" customWidth="1"/>
    <col min="2073" max="2073" width="18.54296875" style="1215" customWidth="1"/>
    <col min="2074" max="2300" width="8.7265625" style="1215" customWidth="1"/>
    <col min="2301" max="2301" width="39.7265625" style="1215" customWidth="1"/>
    <col min="2302" max="2304" width="6.1796875" style="1215" customWidth="1"/>
    <col min="2305" max="2305" width="8.453125" style="1215" bestFit="1" customWidth="1"/>
    <col min="2306" max="2306" width="12.54296875" style="1215" bestFit="1" customWidth="1"/>
    <col min="2307" max="2307" width="27.26953125" style="1215" bestFit="1" customWidth="1"/>
    <col min="2308" max="2308" width="9.1796875" style="1215" customWidth="1"/>
    <col min="2309" max="2309" width="14.7265625" style="1215"/>
    <col min="2310" max="2310" width="32.81640625" style="1215" customWidth="1"/>
    <col min="2311" max="2314" width="5.54296875" style="1215" customWidth="1"/>
    <col min="2315" max="2315" width="7" style="1215" customWidth="1"/>
    <col min="2316" max="2323" width="5.54296875" style="1215" customWidth="1"/>
    <col min="2324" max="2324" width="55" style="1215" customWidth="1"/>
    <col min="2325" max="2325" width="8.7265625" style="1215" customWidth="1"/>
    <col min="2326" max="2326" width="8.1796875" style="1215" customWidth="1"/>
    <col min="2327" max="2327" width="7.1796875" style="1215" customWidth="1"/>
    <col min="2328" max="2328" width="16.54296875" style="1215" bestFit="1" customWidth="1"/>
    <col min="2329" max="2329" width="18.54296875" style="1215" customWidth="1"/>
    <col min="2330" max="2556" width="8.7265625" style="1215" customWidth="1"/>
    <col min="2557" max="2557" width="39.7265625" style="1215" customWidth="1"/>
    <col min="2558" max="2560" width="6.1796875" style="1215" customWidth="1"/>
    <col min="2561" max="2561" width="8.453125" style="1215" bestFit="1" customWidth="1"/>
    <col min="2562" max="2562" width="12.54296875" style="1215" bestFit="1" customWidth="1"/>
    <col min="2563" max="2563" width="27.26953125" style="1215" bestFit="1" customWidth="1"/>
    <col min="2564" max="2564" width="9.1796875" style="1215" customWidth="1"/>
    <col min="2565" max="2565" width="14.7265625" style="1215"/>
    <col min="2566" max="2566" width="32.81640625" style="1215" customWidth="1"/>
    <col min="2567" max="2570" width="5.54296875" style="1215" customWidth="1"/>
    <col min="2571" max="2571" width="7" style="1215" customWidth="1"/>
    <col min="2572" max="2579" width="5.54296875" style="1215" customWidth="1"/>
    <col min="2580" max="2580" width="55" style="1215" customWidth="1"/>
    <col min="2581" max="2581" width="8.7265625" style="1215" customWidth="1"/>
    <col min="2582" max="2582" width="8.1796875" style="1215" customWidth="1"/>
    <col min="2583" max="2583" width="7.1796875" style="1215" customWidth="1"/>
    <col min="2584" max="2584" width="16.54296875" style="1215" bestFit="1" customWidth="1"/>
    <col min="2585" max="2585" width="18.54296875" style="1215" customWidth="1"/>
    <col min="2586" max="2812" width="8.7265625" style="1215" customWidth="1"/>
    <col min="2813" max="2813" width="39.7265625" style="1215" customWidth="1"/>
    <col min="2814" max="2816" width="6.1796875" style="1215" customWidth="1"/>
    <col min="2817" max="2817" width="8.453125" style="1215" bestFit="1" customWidth="1"/>
    <col min="2818" max="2818" width="12.54296875" style="1215" bestFit="1" customWidth="1"/>
    <col min="2819" max="2819" width="27.26953125" style="1215" bestFit="1" customWidth="1"/>
    <col min="2820" max="2820" width="9.1796875" style="1215" customWidth="1"/>
    <col min="2821" max="2821" width="14.7265625" style="1215"/>
    <col min="2822" max="2822" width="32.81640625" style="1215" customWidth="1"/>
    <col min="2823" max="2826" width="5.54296875" style="1215" customWidth="1"/>
    <col min="2827" max="2827" width="7" style="1215" customWidth="1"/>
    <col min="2828" max="2835" width="5.54296875" style="1215" customWidth="1"/>
    <col min="2836" max="2836" width="55" style="1215" customWidth="1"/>
    <col min="2837" max="2837" width="8.7265625" style="1215" customWidth="1"/>
    <col min="2838" max="2838" width="8.1796875" style="1215" customWidth="1"/>
    <col min="2839" max="2839" width="7.1796875" style="1215" customWidth="1"/>
    <col min="2840" max="2840" width="16.54296875" style="1215" bestFit="1" customWidth="1"/>
    <col min="2841" max="2841" width="18.54296875" style="1215" customWidth="1"/>
    <col min="2842" max="3068" width="8.7265625" style="1215" customWidth="1"/>
    <col min="3069" max="3069" width="39.7265625" style="1215" customWidth="1"/>
    <col min="3070" max="3072" width="6.1796875" style="1215" customWidth="1"/>
    <col min="3073" max="3073" width="8.453125" style="1215" bestFit="1" customWidth="1"/>
    <col min="3074" max="3074" width="12.54296875" style="1215" bestFit="1" customWidth="1"/>
    <col min="3075" max="3075" width="27.26953125" style="1215" bestFit="1" customWidth="1"/>
    <col min="3076" max="3076" width="9.1796875" style="1215" customWidth="1"/>
    <col min="3077" max="3077" width="14.7265625" style="1215"/>
    <col min="3078" max="3078" width="32.81640625" style="1215" customWidth="1"/>
    <col min="3079" max="3082" width="5.54296875" style="1215" customWidth="1"/>
    <col min="3083" max="3083" width="7" style="1215" customWidth="1"/>
    <col min="3084" max="3091" width="5.54296875" style="1215" customWidth="1"/>
    <col min="3092" max="3092" width="55" style="1215" customWidth="1"/>
    <col min="3093" max="3093" width="8.7265625" style="1215" customWidth="1"/>
    <col min="3094" max="3094" width="8.1796875" style="1215" customWidth="1"/>
    <col min="3095" max="3095" width="7.1796875" style="1215" customWidth="1"/>
    <col min="3096" max="3096" width="16.54296875" style="1215" bestFit="1" customWidth="1"/>
    <col min="3097" max="3097" width="18.54296875" style="1215" customWidth="1"/>
    <col min="3098" max="3324" width="8.7265625" style="1215" customWidth="1"/>
    <col min="3325" max="3325" width="39.7265625" style="1215" customWidth="1"/>
    <col min="3326" max="3328" width="6.1796875" style="1215" customWidth="1"/>
    <col min="3329" max="3329" width="8.453125" style="1215" bestFit="1" customWidth="1"/>
    <col min="3330" max="3330" width="12.54296875" style="1215" bestFit="1" customWidth="1"/>
    <col min="3331" max="3331" width="27.26953125" style="1215" bestFit="1" customWidth="1"/>
    <col min="3332" max="3332" width="9.1796875" style="1215" customWidth="1"/>
    <col min="3333" max="3333" width="14.7265625" style="1215"/>
    <col min="3334" max="3334" width="32.81640625" style="1215" customWidth="1"/>
    <col min="3335" max="3338" width="5.54296875" style="1215" customWidth="1"/>
    <col min="3339" max="3339" width="7" style="1215" customWidth="1"/>
    <col min="3340" max="3347" width="5.54296875" style="1215" customWidth="1"/>
    <col min="3348" max="3348" width="55" style="1215" customWidth="1"/>
    <col min="3349" max="3349" width="8.7265625" style="1215" customWidth="1"/>
    <col min="3350" max="3350" width="8.1796875" style="1215" customWidth="1"/>
    <col min="3351" max="3351" width="7.1796875" style="1215" customWidth="1"/>
    <col min="3352" max="3352" width="16.54296875" style="1215" bestFit="1" customWidth="1"/>
    <col min="3353" max="3353" width="18.54296875" style="1215" customWidth="1"/>
    <col min="3354" max="3580" width="8.7265625" style="1215" customWidth="1"/>
    <col min="3581" max="3581" width="39.7265625" style="1215" customWidth="1"/>
    <col min="3582" max="3584" width="6.1796875" style="1215" customWidth="1"/>
    <col min="3585" max="3585" width="8.453125" style="1215" bestFit="1" customWidth="1"/>
    <col min="3586" max="3586" width="12.54296875" style="1215" bestFit="1" customWidth="1"/>
    <col min="3587" max="3587" width="27.26953125" style="1215" bestFit="1" customWidth="1"/>
    <col min="3588" max="3588" width="9.1796875" style="1215" customWidth="1"/>
    <col min="3589" max="3589" width="14.7265625" style="1215"/>
    <col min="3590" max="3590" width="32.81640625" style="1215" customWidth="1"/>
    <col min="3591" max="3594" width="5.54296875" style="1215" customWidth="1"/>
    <col min="3595" max="3595" width="7" style="1215" customWidth="1"/>
    <col min="3596" max="3603" width="5.54296875" style="1215" customWidth="1"/>
    <col min="3604" max="3604" width="55" style="1215" customWidth="1"/>
    <col min="3605" max="3605" width="8.7265625" style="1215" customWidth="1"/>
    <col min="3606" max="3606" width="8.1796875" style="1215" customWidth="1"/>
    <col min="3607" max="3607" width="7.1796875" style="1215" customWidth="1"/>
    <col min="3608" max="3608" width="16.54296875" style="1215" bestFit="1" customWidth="1"/>
    <col min="3609" max="3609" width="18.54296875" style="1215" customWidth="1"/>
    <col min="3610" max="3836" width="8.7265625" style="1215" customWidth="1"/>
    <col min="3837" max="3837" width="39.7265625" style="1215" customWidth="1"/>
    <col min="3838" max="3840" width="6.1796875" style="1215" customWidth="1"/>
    <col min="3841" max="3841" width="8.453125" style="1215" bestFit="1" customWidth="1"/>
    <col min="3842" max="3842" width="12.54296875" style="1215" bestFit="1" customWidth="1"/>
    <col min="3843" max="3843" width="27.26953125" style="1215" bestFit="1" customWidth="1"/>
    <col min="3844" max="3844" width="9.1796875" style="1215" customWidth="1"/>
    <col min="3845" max="3845" width="14.7265625" style="1215"/>
    <col min="3846" max="3846" width="32.81640625" style="1215" customWidth="1"/>
    <col min="3847" max="3850" width="5.54296875" style="1215" customWidth="1"/>
    <col min="3851" max="3851" width="7" style="1215" customWidth="1"/>
    <col min="3852" max="3859" width="5.54296875" style="1215" customWidth="1"/>
    <col min="3860" max="3860" width="55" style="1215" customWidth="1"/>
    <col min="3861" max="3861" width="8.7265625" style="1215" customWidth="1"/>
    <col min="3862" max="3862" width="8.1796875" style="1215" customWidth="1"/>
    <col min="3863" max="3863" width="7.1796875" style="1215" customWidth="1"/>
    <col min="3864" max="3864" width="16.54296875" style="1215" bestFit="1" customWidth="1"/>
    <col min="3865" max="3865" width="18.54296875" style="1215" customWidth="1"/>
    <col min="3866" max="4092" width="8.7265625" style="1215" customWidth="1"/>
    <col min="4093" max="4093" width="39.7265625" style="1215" customWidth="1"/>
    <col min="4094" max="4096" width="6.1796875" style="1215" customWidth="1"/>
    <col min="4097" max="4097" width="8.453125" style="1215" bestFit="1" customWidth="1"/>
    <col min="4098" max="4098" width="12.54296875" style="1215" bestFit="1" customWidth="1"/>
    <col min="4099" max="4099" width="27.26953125" style="1215" bestFit="1" customWidth="1"/>
    <col min="4100" max="4100" width="9.1796875" style="1215" customWidth="1"/>
    <col min="4101" max="4101" width="14.7265625" style="1215"/>
    <col min="4102" max="4102" width="32.81640625" style="1215" customWidth="1"/>
    <col min="4103" max="4106" width="5.54296875" style="1215" customWidth="1"/>
    <col min="4107" max="4107" width="7" style="1215" customWidth="1"/>
    <col min="4108" max="4115" width="5.54296875" style="1215" customWidth="1"/>
    <col min="4116" max="4116" width="55" style="1215" customWidth="1"/>
    <col min="4117" max="4117" width="8.7265625" style="1215" customWidth="1"/>
    <col min="4118" max="4118" width="8.1796875" style="1215" customWidth="1"/>
    <col min="4119" max="4119" width="7.1796875" style="1215" customWidth="1"/>
    <col min="4120" max="4120" width="16.54296875" style="1215" bestFit="1" customWidth="1"/>
    <col min="4121" max="4121" width="18.54296875" style="1215" customWidth="1"/>
    <col min="4122" max="4348" width="8.7265625" style="1215" customWidth="1"/>
    <col min="4349" max="4349" width="39.7265625" style="1215" customWidth="1"/>
    <col min="4350" max="4352" width="6.1796875" style="1215" customWidth="1"/>
    <col min="4353" max="4353" width="8.453125" style="1215" bestFit="1" customWidth="1"/>
    <col min="4354" max="4354" width="12.54296875" style="1215" bestFit="1" customWidth="1"/>
    <col min="4355" max="4355" width="27.26953125" style="1215" bestFit="1" customWidth="1"/>
    <col min="4356" max="4356" width="9.1796875" style="1215" customWidth="1"/>
    <col min="4357" max="4357" width="14.7265625" style="1215"/>
    <col min="4358" max="4358" width="32.81640625" style="1215" customWidth="1"/>
    <col min="4359" max="4362" width="5.54296875" style="1215" customWidth="1"/>
    <col min="4363" max="4363" width="7" style="1215" customWidth="1"/>
    <col min="4364" max="4371" width="5.54296875" style="1215" customWidth="1"/>
    <col min="4372" max="4372" width="55" style="1215" customWidth="1"/>
    <col min="4373" max="4373" width="8.7265625" style="1215" customWidth="1"/>
    <col min="4374" max="4374" width="8.1796875" style="1215" customWidth="1"/>
    <col min="4375" max="4375" width="7.1796875" style="1215" customWidth="1"/>
    <col min="4376" max="4376" width="16.54296875" style="1215" bestFit="1" customWidth="1"/>
    <col min="4377" max="4377" width="18.54296875" style="1215" customWidth="1"/>
    <col min="4378" max="4604" width="8.7265625" style="1215" customWidth="1"/>
    <col min="4605" max="4605" width="39.7265625" style="1215" customWidth="1"/>
    <col min="4606" max="4608" width="6.1796875" style="1215" customWidth="1"/>
    <col min="4609" max="4609" width="8.453125" style="1215" bestFit="1" customWidth="1"/>
    <col min="4610" max="4610" width="12.54296875" style="1215" bestFit="1" customWidth="1"/>
    <col min="4611" max="4611" width="27.26953125" style="1215" bestFit="1" customWidth="1"/>
    <col min="4612" max="4612" width="9.1796875" style="1215" customWidth="1"/>
    <col min="4613" max="4613" width="14.7265625" style="1215"/>
    <col min="4614" max="4614" width="32.81640625" style="1215" customWidth="1"/>
    <col min="4615" max="4618" width="5.54296875" style="1215" customWidth="1"/>
    <col min="4619" max="4619" width="7" style="1215" customWidth="1"/>
    <col min="4620" max="4627" width="5.54296875" style="1215" customWidth="1"/>
    <col min="4628" max="4628" width="55" style="1215" customWidth="1"/>
    <col min="4629" max="4629" width="8.7265625" style="1215" customWidth="1"/>
    <col min="4630" max="4630" width="8.1796875" style="1215" customWidth="1"/>
    <col min="4631" max="4631" width="7.1796875" style="1215" customWidth="1"/>
    <col min="4632" max="4632" width="16.54296875" style="1215" bestFit="1" customWidth="1"/>
    <col min="4633" max="4633" width="18.54296875" style="1215" customWidth="1"/>
    <col min="4634" max="4860" width="8.7265625" style="1215" customWidth="1"/>
    <col min="4861" max="4861" width="39.7265625" style="1215" customWidth="1"/>
    <col min="4862" max="4864" width="6.1796875" style="1215" customWidth="1"/>
    <col min="4865" max="4865" width="8.453125" style="1215" bestFit="1" customWidth="1"/>
    <col min="4866" max="4866" width="12.54296875" style="1215" bestFit="1" customWidth="1"/>
    <col min="4867" max="4867" width="27.26953125" style="1215" bestFit="1" customWidth="1"/>
    <col min="4868" max="4868" width="9.1796875" style="1215" customWidth="1"/>
    <col min="4869" max="4869" width="14.7265625" style="1215"/>
    <col min="4870" max="4870" width="32.81640625" style="1215" customWidth="1"/>
    <col min="4871" max="4874" width="5.54296875" style="1215" customWidth="1"/>
    <col min="4875" max="4875" width="7" style="1215" customWidth="1"/>
    <col min="4876" max="4883" width="5.54296875" style="1215" customWidth="1"/>
    <col min="4884" max="4884" width="55" style="1215" customWidth="1"/>
    <col min="4885" max="4885" width="8.7265625" style="1215" customWidth="1"/>
    <col min="4886" max="4886" width="8.1796875" style="1215" customWidth="1"/>
    <col min="4887" max="4887" width="7.1796875" style="1215" customWidth="1"/>
    <col min="4888" max="4888" width="16.54296875" style="1215" bestFit="1" customWidth="1"/>
    <col min="4889" max="4889" width="18.54296875" style="1215" customWidth="1"/>
    <col min="4890" max="5116" width="8.7265625" style="1215" customWidth="1"/>
    <col min="5117" max="5117" width="39.7265625" style="1215" customWidth="1"/>
    <col min="5118" max="5120" width="6.1796875" style="1215" customWidth="1"/>
    <col min="5121" max="5121" width="8.453125" style="1215" bestFit="1" customWidth="1"/>
    <col min="5122" max="5122" width="12.54296875" style="1215" bestFit="1" customWidth="1"/>
    <col min="5123" max="5123" width="27.26953125" style="1215" bestFit="1" customWidth="1"/>
    <col min="5124" max="5124" width="9.1796875" style="1215" customWidth="1"/>
    <col min="5125" max="5125" width="14.7265625" style="1215"/>
    <col min="5126" max="5126" width="32.81640625" style="1215" customWidth="1"/>
    <col min="5127" max="5130" width="5.54296875" style="1215" customWidth="1"/>
    <col min="5131" max="5131" width="7" style="1215" customWidth="1"/>
    <col min="5132" max="5139" width="5.54296875" style="1215" customWidth="1"/>
    <col min="5140" max="5140" width="55" style="1215" customWidth="1"/>
    <col min="5141" max="5141" width="8.7265625" style="1215" customWidth="1"/>
    <col min="5142" max="5142" width="8.1796875" style="1215" customWidth="1"/>
    <col min="5143" max="5143" width="7.1796875" style="1215" customWidth="1"/>
    <col min="5144" max="5144" width="16.54296875" style="1215" bestFit="1" customWidth="1"/>
    <col min="5145" max="5145" width="18.54296875" style="1215" customWidth="1"/>
    <col min="5146" max="5372" width="8.7265625" style="1215" customWidth="1"/>
    <col min="5373" max="5373" width="39.7265625" style="1215" customWidth="1"/>
    <col min="5374" max="5376" width="6.1796875" style="1215" customWidth="1"/>
    <col min="5377" max="5377" width="8.453125" style="1215" bestFit="1" customWidth="1"/>
    <col min="5378" max="5378" width="12.54296875" style="1215" bestFit="1" customWidth="1"/>
    <col min="5379" max="5379" width="27.26953125" style="1215" bestFit="1" customWidth="1"/>
    <col min="5380" max="5380" width="9.1796875" style="1215" customWidth="1"/>
    <col min="5381" max="5381" width="14.7265625" style="1215"/>
    <col min="5382" max="5382" width="32.81640625" style="1215" customWidth="1"/>
    <col min="5383" max="5386" width="5.54296875" style="1215" customWidth="1"/>
    <col min="5387" max="5387" width="7" style="1215" customWidth="1"/>
    <col min="5388" max="5395" width="5.54296875" style="1215" customWidth="1"/>
    <col min="5396" max="5396" width="55" style="1215" customWidth="1"/>
    <col min="5397" max="5397" width="8.7265625" style="1215" customWidth="1"/>
    <col min="5398" max="5398" width="8.1796875" style="1215" customWidth="1"/>
    <col min="5399" max="5399" width="7.1796875" style="1215" customWidth="1"/>
    <col min="5400" max="5400" width="16.54296875" style="1215" bestFit="1" customWidth="1"/>
    <col min="5401" max="5401" width="18.54296875" style="1215" customWidth="1"/>
    <col min="5402" max="5628" width="8.7265625" style="1215" customWidth="1"/>
    <col min="5629" max="5629" width="39.7265625" style="1215" customWidth="1"/>
    <col min="5630" max="5632" width="6.1796875" style="1215" customWidth="1"/>
    <col min="5633" max="5633" width="8.453125" style="1215" bestFit="1" customWidth="1"/>
    <col min="5634" max="5634" width="12.54296875" style="1215" bestFit="1" customWidth="1"/>
    <col min="5635" max="5635" width="27.26953125" style="1215" bestFit="1" customWidth="1"/>
    <col min="5636" max="5636" width="9.1796875" style="1215" customWidth="1"/>
    <col min="5637" max="5637" width="14.7265625" style="1215"/>
    <col min="5638" max="5638" width="32.81640625" style="1215" customWidth="1"/>
    <col min="5639" max="5642" width="5.54296875" style="1215" customWidth="1"/>
    <col min="5643" max="5643" width="7" style="1215" customWidth="1"/>
    <col min="5644" max="5651" width="5.54296875" style="1215" customWidth="1"/>
    <col min="5652" max="5652" width="55" style="1215" customWidth="1"/>
    <col min="5653" max="5653" width="8.7265625" style="1215" customWidth="1"/>
    <col min="5654" max="5654" width="8.1796875" style="1215" customWidth="1"/>
    <col min="5655" max="5655" width="7.1796875" style="1215" customWidth="1"/>
    <col min="5656" max="5656" width="16.54296875" style="1215" bestFit="1" customWidth="1"/>
    <col min="5657" max="5657" width="18.54296875" style="1215" customWidth="1"/>
    <col min="5658" max="5884" width="8.7265625" style="1215" customWidth="1"/>
    <col min="5885" max="5885" width="39.7265625" style="1215" customWidth="1"/>
    <col min="5886" max="5888" width="6.1796875" style="1215" customWidth="1"/>
    <col min="5889" max="5889" width="8.453125" style="1215" bestFit="1" customWidth="1"/>
    <col min="5890" max="5890" width="12.54296875" style="1215" bestFit="1" customWidth="1"/>
    <col min="5891" max="5891" width="27.26953125" style="1215" bestFit="1" customWidth="1"/>
    <col min="5892" max="5892" width="9.1796875" style="1215" customWidth="1"/>
    <col min="5893" max="5893" width="14.7265625" style="1215"/>
    <col min="5894" max="5894" width="32.81640625" style="1215" customWidth="1"/>
    <col min="5895" max="5898" width="5.54296875" style="1215" customWidth="1"/>
    <col min="5899" max="5899" width="7" style="1215" customWidth="1"/>
    <col min="5900" max="5907" width="5.54296875" style="1215" customWidth="1"/>
    <col min="5908" max="5908" width="55" style="1215" customWidth="1"/>
    <col min="5909" max="5909" width="8.7265625" style="1215" customWidth="1"/>
    <col min="5910" max="5910" width="8.1796875" style="1215" customWidth="1"/>
    <col min="5911" max="5911" width="7.1796875" style="1215" customWidth="1"/>
    <col min="5912" max="5912" width="16.54296875" style="1215" bestFit="1" customWidth="1"/>
    <col min="5913" max="5913" width="18.54296875" style="1215" customWidth="1"/>
    <col min="5914" max="6140" width="8.7265625" style="1215" customWidth="1"/>
    <col min="6141" max="6141" width="39.7265625" style="1215" customWidth="1"/>
    <col min="6142" max="6144" width="6.1796875" style="1215" customWidth="1"/>
    <col min="6145" max="6145" width="8.453125" style="1215" bestFit="1" customWidth="1"/>
    <col min="6146" max="6146" width="12.54296875" style="1215" bestFit="1" customWidth="1"/>
    <col min="6147" max="6147" width="27.26953125" style="1215" bestFit="1" customWidth="1"/>
    <col min="6148" max="6148" width="9.1796875" style="1215" customWidth="1"/>
    <col min="6149" max="6149" width="14.7265625" style="1215"/>
    <col min="6150" max="6150" width="32.81640625" style="1215" customWidth="1"/>
    <col min="6151" max="6154" width="5.54296875" style="1215" customWidth="1"/>
    <col min="6155" max="6155" width="7" style="1215" customWidth="1"/>
    <col min="6156" max="6163" width="5.54296875" style="1215" customWidth="1"/>
    <col min="6164" max="6164" width="55" style="1215" customWidth="1"/>
    <col min="6165" max="6165" width="8.7265625" style="1215" customWidth="1"/>
    <col min="6166" max="6166" width="8.1796875" style="1215" customWidth="1"/>
    <col min="6167" max="6167" width="7.1796875" style="1215" customWidth="1"/>
    <col min="6168" max="6168" width="16.54296875" style="1215" bestFit="1" customWidth="1"/>
    <col min="6169" max="6169" width="18.54296875" style="1215" customWidth="1"/>
    <col min="6170" max="6396" width="8.7265625" style="1215" customWidth="1"/>
    <col min="6397" max="6397" width="39.7265625" style="1215" customWidth="1"/>
    <col min="6398" max="6400" width="6.1796875" style="1215" customWidth="1"/>
    <col min="6401" max="6401" width="8.453125" style="1215" bestFit="1" customWidth="1"/>
    <col min="6402" max="6402" width="12.54296875" style="1215" bestFit="1" customWidth="1"/>
    <col min="6403" max="6403" width="27.26953125" style="1215" bestFit="1" customWidth="1"/>
    <col min="6404" max="6404" width="9.1796875" style="1215" customWidth="1"/>
    <col min="6405" max="6405" width="14.7265625" style="1215"/>
    <col min="6406" max="6406" width="32.81640625" style="1215" customWidth="1"/>
    <col min="6407" max="6410" width="5.54296875" style="1215" customWidth="1"/>
    <col min="6411" max="6411" width="7" style="1215" customWidth="1"/>
    <col min="6412" max="6419" width="5.54296875" style="1215" customWidth="1"/>
    <col min="6420" max="6420" width="55" style="1215" customWidth="1"/>
    <col min="6421" max="6421" width="8.7265625" style="1215" customWidth="1"/>
    <col min="6422" max="6422" width="8.1796875" style="1215" customWidth="1"/>
    <col min="6423" max="6423" width="7.1796875" style="1215" customWidth="1"/>
    <col min="6424" max="6424" width="16.54296875" style="1215" bestFit="1" customWidth="1"/>
    <col min="6425" max="6425" width="18.54296875" style="1215" customWidth="1"/>
    <col min="6426" max="6652" width="8.7265625" style="1215" customWidth="1"/>
    <col min="6653" max="6653" width="39.7265625" style="1215" customWidth="1"/>
    <col min="6654" max="6656" width="6.1796875" style="1215" customWidth="1"/>
    <col min="6657" max="6657" width="8.453125" style="1215" bestFit="1" customWidth="1"/>
    <col min="6658" max="6658" width="12.54296875" style="1215" bestFit="1" customWidth="1"/>
    <col min="6659" max="6659" width="27.26953125" style="1215" bestFit="1" customWidth="1"/>
    <col min="6660" max="6660" width="9.1796875" style="1215" customWidth="1"/>
    <col min="6661" max="6661" width="14.7265625" style="1215"/>
    <col min="6662" max="6662" width="32.81640625" style="1215" customWidth="1"/>
    <col min="6663" max="6666" width="5.54296875" style="1215" customWidth="1"/>
    <col min="6667" max="6667" width="7" style="1215" customWidth="1"/>
    <col min="6668" max="6675" width="5.54296875" style="1215" customWidth="1"/>
    <col min="6676" max="6676" width="55" style="1215" customWidth="1"/>
    <col min="6677" max="6677" width="8.7265625" style="1215" customWidth="1"/>
    <col min="6678" max="6678" width="8.1796875" style="1215" customWidth="1"/>
    <col min="6679" max="6679" width="7.1796875" style="1215" customWidth="1"/>
    <col min="6680" max="6680" width="16.54296875" style="1215" bestFit="1" customWidth="1"/>
    <col min="6681" max="6681" width="18.54296875" style="1215" customWidth="1"/>
    <col min="6682" max="6908" width="8.7265625" style="1215" customWidth="1"/>
    <col min="6909" max="6909" width="39.7265625" style="1215" customWidth="1"/>
    <col min="6910" max="6912" width="6.1796875" style="1215" customWidth="1"/>
    <col min="6913" max="6913" width="8.453125" style="1215" bestFit="1" customWidth="1"/>
    <col min="6914" max="6914" width="12.54296875" style="1215" bestFit="1" customWidth="1"/>
    <col min="6915" max="6915" width="27.26953125" style="1215" bestFit="1" customWidth="1"/>
    <col min="6916" max="6916" width="9.1796875" style="1215" customWidth="1"/>
    <col min="6917" max="6917" width="14.7265625" style="1215"/>
    <col min="6918" max="6918" width="32.81640625" style="1215" customWidth="1"/>
    <col min="6919" max="6922" width="5.54296875" style="1215" customWidth="1"/>
    <col min="6923" max="6923" width="7" style="1215" customWidth="1"/>
    <col min="6924" max="6931" width="5.54296875" style="1215" customWidth="1"/>
    <col min="6932" max="6932" width="55" style="1215" customWidth="1"/>
    <col min="6933" max="6933" width="8.7265625" style="1215" customWidth="1"/>
    <col min="6934" max="6934" width="8.1796875" style="1215" customWidth="1"/>
    <col min="6935" max="6935" width="7.1796875" style="1215" customWidth="1"/>
    <col min="6936" max="6936" width="16.54296875" style="1215" bestFit="1" customWidth="1"/>
    <col min="6937" max="6937" width="18.54296875" style="1215" customWidth="1"/>
    <col min="6938" max="7164" width="8.7265625" style="1215" customWidth="1"/>
    <col min="7165" max="7165" width="39.7265625" style="1215" customWidth="1"/>
    <col min="7166" max="7168" width="6.1796875" style="1215" customWidth="1"/>
    <col min="7169" max="7169" width="8.453125" style="1215" bestFit="1" customWidth="1"/>
    <col min="7170" max="7170" width="12.54296875" style="1215" bestFit="1" customWidth="1"/>
    <col min="7171" max="7171" width="27.26953125" style="1215" bestFit="1" customWidth="1"/>
    <col min="7172" max="7172" width="9.1796875" style="1215" customWidth="1"/>
    <col min="7173" max="7173" width="14.7265625" style="1215"/>
    <col min="7174" max="7174" width="32.81640625" style="1215" customWidth="1"/>
    <col min="7175" max="7178" width="5.54296875" style="1215" customWidth="1"/>
    <col min="7179" max="7179" width="7" style="1215" customWidth="1"/>
    <col min="7180" max="7187" width="5.54296875" style="1215" customWidth="1"/>
    <col min="7188" max="7188" width="55" style="1215" customWidth="1"/>
    <col min="7189" max="7189" width="8.7265625" style="1215" customWidth="1"/>
    <col min="7190" max="7190" width="8.1796875" style="1215" customWidth="1"/>
    <col min="7191" max="7191" width="7.1796875" style="1215" customWidth="1"/>
    <col min="7192" max="7192" width="16.54296875" style="1215" bestFit="1" customWidth="1"/>
    <col min="7193" max="7193" width="18.54296875" style="1215" customWidth="1"/>
    <col min="7194" max="7420" width="8.7265625" style="1215" customWidth="1"/>
    <col min="7421" max="7421" width="39.7265625" style="1215" customWidth="1"/>
    <col min="7422" max="7424" width="6.1796875" style="1215" customWidth="1"/>
    <col min="7425" max="7425" width="8.453125" style="1215" bestFit="1" customWidth="1"/>
    <col min="7426" max="7426" width="12.54296875" style="1215" bestFit="1" customWidth="1"/>
    <col min="7427" max="7427" width="27.26953125" style="1215" bestFit="1" customWidth="1"/>
    <col min="7428" max="7428" width="9.1796875" style="1215" customWidth="1"/>
    <col min="7429" max="7429" width="14.7265625" style="1215"/>
    <col min="7430" max="7430" width="32.81640625" style="1215" customWidth="1"/>
    <col min="7431" max="7434" width="5.54296875" style="1215" customWidth="1"/>
    <col min="7435" max="7435" width="7" style="1215" customWidth="1"/>
    <col min="7436" max="7443" width="5.54296875" style="1215" customWidth="1"/>
    <col min="7444" max="7444" width="55" style="1215" customWidth="1"/>
    <col min="7445" max="7445" width="8.7265625" style="1215" customWidth="1"/>
    <col min="7446" max="7446" width="8.1796875" style="1215" customWidth="1"/>
    <col min="7447" max="7447" width="7.1796875" style="1215" customWidth="1"/>
    <col min="7448" max="7448" width="16.54296875" style="1215" bestFit="1" customWidth="1"/>
    <col min="7449" max="7449" width="18.54296875" style="1215" customWidth="1"/>
    <col min="7450" max="7676" width="8.7265625" style="1215" customWidth="1"/>
    <col min="7677" max="7677" width="39.7265625" style="1215" customWidth="1"/>
    <col min="7678" max="7680" width="6.1796875" style="1215" customWidth="1"/>
    <col min="7681" max="7681" width="8.453125" style="1215" bestFit="1" customWidth="1"/>
    <col min="7682" max="7682" width="12.54296875" style="1215" bestFit="1" customWidth="1"/>
    <col min="7683" max="7683" width="27.26953125" style="1215" bestFit="1" customWidth="1"/>
    <col min="7684" max="7684" width="9.1796875" style="1215" customWidth="1"/>
    <col min="7685" max="7685" width="14.7265625" style="1215"/>
    <col min="7686" max="7686" width="32.81640625" style="1215" customWidth="1"/>
    <col min="7687" max="7690" width="5.54296875" style="1215" customWidth="1"/>
    <col min="7691" max="7691" width="7" style="1215" customWidth="1"/>
    <col min="7692" max="7699" width="5.54296875" style="1215" customWidth="1"/>
    <col min="7700" max="7700" width="55" style="1215" customWidth="1"/>
    <col min="7701" max="7701" width="8.7265625" style="1215" customWidth="1"/>
    <col min="7702" max="7702" width="8.1796875" style="1215" customWidth="1"/>
    <col min="7703" max="7703" width="7.1796875" style="1215" customWidth="1"/>
    <col min="7704" max="7704" width="16.54296875" style="1215" bestFit="1" customWidth="1"/>
    <col min="7705" max="7705" width="18.54296875" style="1215" customWidth="1"/>
    <col min="7706" max="7932" width="8.7265625" style="1215" customWidth="1"/>
    <col min="7933" max="7933" width="39.7265625" style="1215" customWidth="1"/>
    <col min="7934" max="7936" width="6.1796875" style="1215" customWidth="1"/>
    <col min="7937" max="7937" width="8.453125" style="1215" bestFit="1" customWidth="1"/>
    <col min="7938" max="7938" width="12.54296875" style="1215" bestFit="1" customWidth="1"/>
    <col min="7939" max="7939" width="27.26953125" style="1215" bestFit="1" customWidth="1"/>
    <col min="7940" max="7940" width="9.1796875" style="1215" customWidth="1"/>
    <col min="7941" max="7941" width="14.7265625" style="1215"/>
    <col min="7942" max="7942" width="32.81640625" style="1215" customWidth="1"/>
    <col min="7943" max="7946" width="5.54296875" style="1215" customWidth="1"/>
    <col min="7947" max="7947" width="7" style="1215" customWidth="1"/>
    <col min="7948" max="7955" width="5.54296875" style="1215" customWidth="1"/>
    <col min="7956" max="7956" width="55" style="1215" customWidth="1"/>
    <col min="7957" max="7957" width="8.7265625" style="1215" customWidth="1"/>
    <col min="7958" max="7958" width="8.1796875" style="1215" customWidth="1"/>
    <col min="7959" max="7959" width="7.1796875" style="1215" customWidth="1"/>
    <col min="7960" max="7960" width="16.54296875" style="1215" bestFit="1" customWidth="1"/>
    <col min="7961" max="7961" width="18.54296875" style="1215" customWidth="1"/>
    <col min="7962" max="8188" width="8.7265625" style="1215" customWidth="1"/>
    <col min="8189" max="8189" width="39.7265625" style="1215" customWidth="1"/>
    <col min="8190" max="8192" width="6.1796875" style="1215" customWidth="1"/>
    <col min="8193" max="8193" width="8.453125" style="1215" bestFit="1" customWidth="1"/>
    <col min="8194" max="8194" width="12.54296875" style="1215" bestFit="1" customWidth="1"/>
    <col min="8195" max="8195" width="27.26953125" style="1215" bestFit="1" customWidth="1"/>
    <col min="8196" max="8196" width="9.1796875" style="1215" customWidth="1"/>
    <col min="8197" max="8197" width="14.7265625" style="1215"/>
    <col min="8198" max="8198" width="32.81640625" style="1215" customWidth="1"/>
    <col min="8199" max="8202" width="5.54296875" style="1215" customWidth="1"/>
    <col min="8203" max="8203" width="7" style="1215" customWidth="1"/>
    <col min="8204" max="8211" width="5.54296875" style="1215" customWidth="1"/>
    <col min="8212" max="8212" width="55" style="1215" customWidth="1"/>
    <col min="8213" max="8213" width="8.7265625" style="1215" customWidth="1"/>
    <col min="8214" max="8214" width="8.1796875" style="1215" customWidth="1"/>
    <col min="8215" max="8215" width="7.1796875" style="1215" customWidth="1"/>
    <col min="8216" max="8216" width="16.54296875" style="1215" bestFit="1" customWidth="1"/>
    <col min="8217" max="8217" width="18.54296875" style="1215" customWidth="1"/>
    <col min="8218" max="8444" width="8.7265625" style="1215" customWidth="1"/>
    <col min="8445" max="8445" width="39.7265625" style="1215" customWidth="1"/>
    <col min="8446" max="8448" width="6.1796875" style="1215" customWidth="1"/>
    <col min="8449" max="8449" width="8.453125" style="1215" bestFit="1" customWidth="1"/>
    <col min="8450" max="8450" width="12.54296875" style="1215" bestFit="1" customWidth="1"/>
    <col min="8451" max="8451" width="27.26953125" style="1215" bestFit="1" customWidth="1"/>
    <col min="8452" max="8452" width="9.1796875" style="1215" customWidth="1"/>
    <col min="8453" max="8453" width="14.7265625" style="1215"/>
    <col min="8454" max="8454" width="32.81640625" style="1215" customWidth="1"/>
    <col min="8455" max="8458" width="5.54296875" style="1215" customWidth="1"/>
    <col min="8459" max="8459" width="7" style="1215" customWidth="1"/>
    <col min="8460" max="8467" width="5.54296875" style="1215" customWidth="1"/>
    <col min="8468" max="8468" width="55" style="1215" customWidth="1"/>
    <col min="8469" max="8469" width="8.7265625" style="1215" customWidth="1"/>
    <col min="8470" max="8470" width="8.1796875" style="1215" customWidth="1"/>
    <col min="8471" max="8471" width="7.1796875" style="1215" customWidth="1"/>
    <col min="8472" max="8472" width="16.54296875" style="1215" bestFit="1" customWidth="1"/>
    <col min="8473" max="8473" width="18.54296875" style="1215" customWidth="1"/>
    <col min="8474" max="8700" width="8.7265625" style="1215" customWidth="1"/>
    <col min="8701" max="8701" width="39.7265625" style="1215" customWidth="1"/>
    <col min="8702" max="8704" width="6.1796875" style="1215" customWidth="1"/>
    <col min="8705" max="8705" width="8.453125" style="1215" bestFit="1" customWidth="1"/>
    <col min="8706" max="8706" width="12.54296875" style="1215" bestFit="1" customWidth="1"/>
    <col min="8707" max="8707" width="27.26953125" style="1215" bestFit="1" customWidth="1"/>
    <col min="8708" max="8708" width="9.1796875" style="1215" customWidth="1"/>
    <col min="8709" max="8709" width="14.7265625" style="1215"/>
    <col min="8710" max="8710" width="32.81640625" style="1215" customWidth="1"/>
    <col min="8711" max="8714" width="5.54296875" style="1215" customWidth="1"/>
    <col min="8715" max="8715" width="7" style="1215" customWidth="1"/>
    <col min="8716" max="8723" width="5.54296875" style="1215" customWidth="1"/>
    <col min="8724" max="8724" width="55" style="1215" customWidth="1"/>
    <col min="8725" max="8725" width="8.7265625" style="1215" customWidth="1"/>
    <col min="8726" max="8726" width="8.1796875" style="1215" customWidth="1"/>
    <col min="8727" max="8727" width="7.1796875" style="1215" customWidth="1"/>
    <col min="8728" max="8728" width="16.54296875" style="1215" bestFit="1" customWidth="1"/>
    <col min="8729" max="8729" width="18.54296875" style="1215" customWidth="1"/>
    <col min="8730" max="8956" width="8.7265625" style="1215" customWidth="1"/>
    <col min="8957" max="8957" width="39.7265625" style="1215" customWidth="1"/>
    <col min="8958" max="8960" width="6.1796875" style="1215" customWidth="1"/>
    <col min="8961" max="8961" width="8.453125" style="1215" bestFit="1" customWidth="1"/>
    <col min="8962" max="8962" width="12.54296875" style="1215" bestFit="1" customWidth="1"/>
    <col min="8963" max="8963" width="27.26953125" style="1215" bestFit="1" customWidth="1"/>
    <col min="8964" max="8964" width="9.1796875" style="1215" customWidth="1"/>
    <col min="8965" max="8965" width="14.7265625" style="1215"/>
    <col min="8966" max="8966" width="32.81640625" style="1215" customWidth="1"/>
    <col min="8967" max="8970" width="5.54296875" style="1215" customWidth="1"/>
    <col min="8971" max="8971" width="7" style="1215" customWidth="1"/>
    <col min="8972" max="8979" width="5.54296875" style="1215" customWidth="1"/>
    <col min="8980" max="8980" width="55" style="1215" customWidth="1"/>
    <col min="8981" max="8981" width="8.7265625" style="1215" customWidth="1"/>
    <col min="8982" max="8982" width="8.1796875" style="1215" customWidth="1"/>
    <col min="8983" max="8983" width="7.1796875" style="1215" customWidth="1"/>
    <col min="8984" max="8984" width="16.54296875" style="1215" bestFit="1" customWidth="1"/>
    <col min="8985" max="8985" width="18.54296875" style="1215" customWidth="1"/>
    <col min="8986" max="9212" width="8.7265625" style="1215" customWidth="1"/>
    <col min="9213" max="9213" width="39.7265625" style="1215" customWidth="1"/>
    <col min="9214" max="9216" width="6.1796875" style="1215" customWidth="1"/>
    <col min="9217" max="9217" width="8.453125" style="1215" bestFit="1" customWidth="1"/>
    <col min="9218" max="9218" width="12.54296875" style="1215" bestFit="1" customWidth="1"/>
    <col min="9219" max="9219" width="27.26953125" style="1215" bestFit="1" customWidth="1"/>
    <col min="9220" max="9220" width="9.1796875" style="1215" customWidth="1"/>
    <col min="9221" max="9221" width="14.7265625" style="1215"/>
    <col min="9222" max="9222" width="32.81640625" style="1215" customWidth="1"/>
    <col min="9223" max="9226" width="5.54296875" style="1215" customWidth="1"/>
    <col min="9227" max="9227" width="7" style="1215" customWidth="1"/>
    <col min="9228" max="9235" width="5.54296875" style="1215" customWidth="1"/>
    <col min="9236" max="9236" width="55" style="1215" customWidth="1"/>
    <col min="9237" max="9237" width="8.7265625" style="1215" customWidth="1"/>
    <col min="9238" max="9238" width="8.1796875" style="1215" customWidth="1"/>
    <col min="9239" max="9239" width="7.1796875" style="1215" customWidth="1"/>
    <col min="9240" max="9240" width="16.54296875" style="1215" bestFit="1" customWidth="1"/>
    <col min="9241" max="9241" width="18.54296875" style="1215" customWidth="1"/>
    <col min="9242" max="9468" width="8.7265625" style="1215" customWidth="1"/>
    <col min="9469" max="9469" width="39.7265625" style="1215" customWidth="1"/>
    <col min="9470" max="9472" width="6.1796875" style="1215" customWidth="1"/>
    <col min="9473" max="9473" width="8.453125" style="1215" bestFit="1" customWidth="1"/>
    <col min="9474" max="9474" width="12.54296875" style="1215" bestFit="1" customWidth="1"/>
    <col min="9475" max="9475" width="27.26953125" style="1215" bestFit="1" customWidth="1"/>
    <col min="9476" max="9476" width="9.1796875" style="1215" customWidth="1"/>
    <col min="9477" max="9477" width="14.7265625" style="1215"/>
    <col min="9478" max="9478" width="32.81640625" style="1215" customWidth="1"/>
    <col min="9479" max="9482" width="5.54296875" style="1215" customWidth="1"/>
    <col min="9483" max="9483" width="7" style="1215" customWidth="1"/>
    <col min="9484" max="9491" width="5.54296875" style="1215" customWidth="1"/>
    <col min="9492" max="9492" width="55" style="1215" customWidth="1"/>
    <col min="9493" max="9493" width="8.7265625" style="1215" customWidth="1"/>
    <col min="9494" max="9494" width="8.1796875" style="1215" customWidth="1"/>
    <col min="9495" max="9495" width="7.1796875" style="1215" customWidth="1"/>
    <col min="9496" max="9496" width="16.54296875" style="1215" bestFit="1" customWidth="1"/>
    <col min="9497" max="9497" width="18.54296875" style="1215" customWidth="1"/>
    <col min="9498" max="9724" width="8.7265625" style="1215" customWidth="1"/>
    <col min="9725" max="9725" width="39.7265625" style="1215" customWidth="1"/>
    <col min="9726" max="9728" width="6.1796875" style="1215" customWidth="1"/>
    <col min="9729" max="9729" width="8.453125" style="1215" bestFit="1" customWidth="1"/>
    <col min="9730" max="9730" width="12.54296875" style="1215" bestFit="1" customWidth="1"/>
    <col min="9731" max="9731" width="27.26953125" style="1215" bestFit="1" customWidth="1"/>
    <col min="9732" max="9732" width="9.1796875" style="1215" customWidth="1"/>
    <col min="9733" max="9733" width="14.7265625" style="1215"/>
    <col min="9734" max="9734" width="32.81640625" style="1215" customWidth="1"/>
    <col min="9735" max="9738" width="5.54296875" style="1215" customWidth="1"/>
    <col min="9739" max="9739" width="7" style="1215" customWidth="1"/>
    <col min="9740" max="9747" width="5.54296875" style="1215" customWidth="1"/>
    <col min="9748" max="9748" width="55" style="1215" customWidth="1"/>
    <col min="9749" max="9749" width="8.7265625" style="1215" customWidth="1"/>
    <col min="9750" max="9750" width="8.1796875" style="1215" customWidth="1"/>
    <col min="9751" max="9751" width="7.1796875" style="1215" customWidth="1"/>
    <col min="9752" max="9752" width="16.54296875" style="1215" bestFit="1" customWidth="1"/>
    <col min="9753" max="9753" width="18.54296875" style="1215" customWidth="1"/>
    <col min="9754" max="9980" width="8.7265625" style="1215" customWidth="1"/>
    <col min="9981" max="9981" width="39.7265625" style="1215" customWidth="1"/>
    <col min="9982" max="9984" width="6.1796875" style="1215" customWidth="1"/>
    <col min="9985" max="9985" width="8.453125" style="1215" bestFit="1" customWidth="1"/>
    <col min="9986" max="9986" width="12.54296875" style="1215" bestFit="1" customWidth="1"/>
    <col min="9987" max="9987" width="27.26953125" style="1215" bestFit="1" customWidth="1"/>
    <col min="9988" max="9988" width="9.1796875" style="1215" customWidth="1"/>
    <col min="9989" max="9989" width="14.7265625" style="1215"/>
    <col min="9990" max="9990" width="32.81640625" style="1215" customWidth="1"/>
    <col min="9991" max="9994" width="5.54296875" style="1215" customWidth="1"/>
    <col min="9995" max="9995" width="7" style="1215" customWidth="1"/>
    <col min="9996" max="10003" width="5.54296875" style="1215" customWidth="1"/>
    <col min="10004" max="10004" width="55" style="1215" customWidth="1"/>
    <col min="10005" max="10005" width="8.7265625" style="1215" customWidth="1"/>
    <col min="10006" max="10006" width="8.1796875" style="1215" customWidth="1"/>
    <col min="10007" max="10007" width="7.1796875" style="1215" customWidth="1"/>
    <col min="10008" max="10008" width="16.54296875" style="1215" bestFit="1" customWidth="1"/>
    <col min="10009" max="10009" width="18.54296875" style="1215" customWidth="1"/>
    <col min="10010" max="10236" width="8.7265625" style="1215" customWidth="1"/>
    <col min="10237" max="10237" width="39.7265625" style="1215" customWidth="1"/>
    <col min="10238" max="10240" width="6.1796875" style="1215" customWidth="1"/>
    <col min="10241" max="10241" width="8.453125" style="1215" bestFit="1" customWidth="1"/>
    <col min="10242" max="10242" width="12.54296875" style="1215" bestFit="1" customWidth="1"/>
    <col min="10243" max="10243" width="27.26953125" style="1215" bestFit="1" customWidth="1"/>
    <col min="10244" max="10244" width="9.1796875" style="1215" customWidth="1"/>
    <col min="10245" max="10245" width="14.7265625" style="1215"/>
    <col min="10246" max="10246" width="32.81640625" style="1215" customWidth="1"/>
    <col min="10247" max="10250" width="5.54296875" style="1215" customWidth="1"/>
    <col min="10251" max="10251" width="7" style="1215" customWidth="1"/>
    <col min="10252" max="10259" width="5.54296875" style="1215" customWidth="1"/>
    <col min="10260" max="10260" width="55" style="1215" customWidth="1"/>
    <col min="10261" max="10261" width="8.7265625" style="1215" customWidth="1"/>
    <col min="10262" max="10262" width="8.1796875" style="1215" customWidth="1"/>
    <col min="10263" max="10263" width="7.1796875" style="1215" customWidth="1"/>
    <col min="10264" max="10264" width="16.54296875" style="1215" bestFit="1" customWidth="1"/>
    <col min="10265" max="10265" width="18.54296875" style="1215" customWidth="1"/>
    <col min="10266" max="10492" width="8.7265625" style="1215" customWidth="1"/>
    <col min="10493" max="10493" width="39.7265625" style="1215" customWidth="1"/>
    <col min="10494" max="10496" width="6.1796875" style="1215" customWidth="1"/>
    <col min="10497" max="10497" width="8.453125" style="1215" bestFit="1" customWidth="1"/>
    <col min="10498" max="10498" width="12.54296875" style="1215" bestFit="1" customWidth="1"/>
    <col min="10499" max="10499" width="27.26953125" style="1215" bestFit="1" customWidth="1"/>
    <col min="10500" max="10500" width="9.1796875" style="1215" customWidth="1"/>
    <col min="10501" max="10501" width="14.7265625" style="1215"/>
    <col min="10502" max="10502" width="32.81640625" style="1215" customWidth="1"/>
    <col min="10503" max="10506" width="5.54296875" style="1215" customWidth="1"/>
    <col min="10507" max="10507" width="7" style="1215" customWidth="1"/>
    <col min="10508" max="10515" width="5.54296875" style="1215" customWidth="1"/>
    <col min="10516" max="10516" width="55" style="1215" customWidth="1"/>
    <col min="10517" max="10517" width="8.7265625" style="1215" customWidth="1"/>
    <col min="10518" max="10518" width="8.1796875" style="1215" customWidth="1"/>
    <col min="10519" max="10519" width="7.1796875" style="1215" customWidth="1"/>
    <col min="10520" max="10520" width="16.54296875" style="1215" bestFit="1" customWidth="1"/>
    <col min="10521" max="10521" width="18.54296875" style="1215" customWidth="1"/>
    <col min="10522" max="10748" width="8.7265625" style="1215" customWidth="1"/>
    <col min="10749" max="10749" width="39.7265625" style="1215" customWidth="1"/>
    <col min="10750" max="10752" width="6.1796875" style="1215" customWidth="1"/>
    <col min="10753" max="10753" width="8.453125" style="1215" bestFit="1" customWidth="1"/>
    <col min="10754" max="10754" width="12.54296875" style="1215" bestFit="1" customWidth="1"/>
    <col min="10755" max="10755" width="27.26953125" style="1215" bestFit="1" customWidth="1"/>
    <col min="10756" max="10756" width="9.1796875" style="1215" customWidth="1"/>
    <col min="10757" max="10757" width="14.7265625" style="1215"/>
    <col min="10758" max="10758" width="32.81640625" style="1215" customWidth="1"/>
    <col min="10759" max="10762" width="5.54296875" style="1215" customWidth="1"/>
    <col min="10763" max="10763" width="7" style="1215" customWidth="1"/>
    <col min="10764" max="10771" width="5.54296875" style="1215" customWidth="1"/>
    <col min="10772" max="10772" width="55" style="1215" customWidth="1"/>
    <col min="10773" max="10773" width="8.7265625" style="1215" customWidth="1"/>
    <col min="10774" max="10774" width="8.1796875" style="1215" customWidth="1"/>
    <col min="10775" max="10775" width="7.1796875" style="1215" customWidth="1"/>
    <col min="10776" max="10776" width="16.54296875" style="1215" bestFit="1" customWidth="1"/>
    <col min="10777" max="10777" width="18.54296875" style="1215" customWidth="1"/>
    <col min="10778" max="11004" width="8.7265625" style="1215" customWidth="1"/>
    <col min="11005" max="11005" width="39.7265625" style="1215" customWidth="1"/>
    <col min="11006" max="11008" width="6.1796875" style="1215" customWidth="1"/>
    <col min="11009" max="11009" width="8.453125" style="1215" bestFit="1" customWidth="1"/>
    <col min="11010" max="11010" width="12.54296875" style="1215" bestFit="1" customWidth="1"/>
    <col min="11011" max="11011" width="27.26953125" style="1215" bestFit="1" customWidth="1"/>
    <col min="11012" max="11012" width="9.1796875" style="1215" customWidth="1"/>
    <col min="11013" max="11013" width="14.7265625" style="1215"/>
    <col min="11014" max="11014" width="32.81640625" style="1215" customWidth="1"/>
    <col min="11015" max="11018" width="5.54296875" style="1215" customWidth="1"/>
    <col min="11019" max="11019" width="7" style="1215" customWidth="1"/>
    <col min="11020" max="11027" width="5.54296875" style="1215" customWidth="1"/>
    <col min="11028" max="11028" width="55" style="1215" customWidth="1"/>
    <col min="11029" max="11029" width="8.7265625" style="1215" customWidth="1"/>
    <col min="11030" max="11030" width="8.1796875" style="1215" customWidth="1"/>
    <col min="11031" max="11031" width="7.1796875" style="1215" customWidth="1"/>
    <col min="11032" max="11032" width="16.54296875" style="1215" bestFit="1" customWidth="1"/>
    <col min="11033" max="11033" width="18.54296875" style="1215" customWidth="1"/>
    <col min="11034" max="11260" width="8.7265625" style="1215" customWidth="1"/>
    <col min="11261" max="11261" width="39.7265625" style="1215" customWidth="1"/>
    <col min="11262" max="11264" width="6.1796875" style="1215" customWidth="1"/>
    <col min="11265" max="11265" width="8.453125" style="1215" bestFit="1" customWidth="1"/>
    <col min="11266" max="11266" width="12.54296875" style="1215" bestFit="1" customWidth="1"/>
    <col min="11267" max="11267" width="27.26953125" style="1215" bestFit="1" customWidth="1"/>
    <col min="11268" max="11268" width="9.1796875" style="1215" customWidth="1"/>
    <col min="11269" max="11269" width="14.7265625" style="1215"/>
    <col min="11270" max="11270" width="32.81640625" style="1215" customWidth="1"/>
    <col min="11271" max="11274" width="5.54296875" style="1215" customWidth="1"/>
    <col min="11275" max="11275" width="7" style="1215" customWidth="1"/>
    <col min="11276" max="11283" width="5.54296875" style="1215" customWidth="1"/>
    <col min="11284" max="11284" width="55" style="1215" customWidth="1"/>
    <col min="11285" max="11285" width="8.7265625" style="1215" customWidth="1"/>
    <col min="11286" max="11286" width="8.1796875" style="1215" customWidth="1"/>
    <col min="11287" max="11287" width="7.1796875" style="1215" customWidth="1"/>
    <col min="11288" max="11288" width="16.54296875" style="1215" bestFit="1" customWidth="1"/>
    <col min="11289" max="11289" width="18.54296875" style="1215" customWidth="1"/>
    <col min="11290" max="11516" width="8.7265625" style="1215" customWidth="1"/>
    <col min="11517" max="11517" width="39.7265625" style="1215" customWidth="1"/>
    <col min="11518" max="11520" width="6.1796875" style="1215" customWidth="1"/>
    <col min="11521" max="11521" width="8.453125" style="1215" bestFit="1" customWidth="1"/>
    <col min="11522" max="11522" width="12.54296875" style="1215" bestFit="1" customWidth="1"/>
    <col min="11523" max="11523" width="27.26953125" style="1215" bestFit="1" customWidth="1"/>
    <col min="11524" max="11524" width="9.1796875" style="1215" customWidth="1"/>
    <col min="11525" max="11525" width="14.7265625" style="1215"/>
    <col min="11526" max="11526" width="32.81640625" style="1215" customWidth="1"/>
    <col min="11527" max="11530" width="5.54296875" style="1215" customWidth="1"/>
    <col min="11531" max="11531" width="7" style="1215" customWidth="1"/>
    <col min="11532" max="11539" width="5.54296875" style="1215" customWidth="1"/>
    <col min="11540" max="11540" width="55" style="1215" customWidth="1"/>
    <col min="11541" max="11541" width="8.7265625" style="1215" customWidth="1"/>
    <col min="11542" max="11542" width="8.1796875" style="1215" customWidth="1"/>
    <col min="11543" max="11543" width="7.1796875" style="1215" customWidth="1"/>
    <col min="11544" max="11544" width="16.54296875" style="1215" bestFit="1" customWidth="1"/>
    <col min="11545" max="11545" width="18.54296875" style="1215" customWidth="1"/>
    <col min="11546" max="11772" width="8.7265625" style="1215" customWidth="1"/>
    <col min="11773" max="11773" width="39.7265625" style="1215" customWidth="1"/>
    <col min="11774" max="11776" width="6.1796875" style="1215" customWidth="1"/>
    <col min="11777" max="11777" width="8.453125" style="1215" bestFit="1" customWidth="1"/>
    <col min="11778" max="11778" width="12.54296875" style="1215" bestFit="1" customWidth="1"/>
    <col min="11779" max="11779" width="27.26953125" style="1215" bestFit="1" customWidth="1"/>
    <col min="11780" max="11780" width="9.1796875" style="1215" customWidth="1"/>
    <col min="11781" max="11781" width="14.7265625" style="1215"/>
    <col min="11782" max="11782" width="32.81640625" style="1215" customWidth="1"/>
    <col min="11783" max="11786" width="5.54296875" style="1215" customWidth="1"/>
    <col min="11787" max="11787" width="7" style="1215" customWidth="1"/>
    <col min="11788" max="11795" width="5.54296875" style="1215" customWidth="1"/>
    <col min="11796" max="11796" width="55" style="1215" customWidth="1"/>
    <col min="11797" max="11797" width="8.7265625" style="1215" customWidth="1"/>
    <col min="11798" max="11798" width="8.1796875" style="1215" customWidth="1"/>
    <col min="11799" max="11799" width="7.1796875" style="1215" customWidth="1"/>
    <col min="11800" max="11800" width="16.54296875" style="1215" bestFit="1" customWidth="1"/>
    <col min="11801" max="11801" width="18.54296875" style="1215" customWidth="1"/>
    <col min="11802" max="12028" width="8.7265625" style="1215" customWidth="1"/>
    <col min="12029" max="12029" width="39.7265625" style="1215" customWidth="1"/>
    <col min="12030" max="12032" width="6.1796875" style="1215" customWidth="1"/>
    <col min="12033" max="12033" width="8.453125" style="1215" bestFit="1" customWidth="1"/>
    <col min="12034" max="12034" width="12.54296875" style="1215" bestFit="1" customWidth="1"/>
    <col min="12035" max="12035" width="27.26953125" style="1215" bestFit="1" customWidth="1"/>
    <col min="12036" max="12036" width="9.1796875" style="1215" customWidth="1"/>
    <col min="12037" max="12037" width="14.7265625" style="1215"/>
    <col min="12038" max="12038" width="32.81640625" style="1215" customWidth="1"/>
    <col min="12039" max="12042" width="5.54296875" style="1215" customWidth="1"/>
    <col min="12043" max="12043" width="7" style="1215" customWidth="1"/>
    <col min="12044" max="12051" width="5.54296875" style="1215" customWidth="1"/>
    <col min="12052" max="12052" width="55" style="1215" customWidth="1"/>
    <col min="12053" max="12053" width="8.7265625" style="1215" customWidth="1"/>
    <col min="12054" max="12054" width="8.1796875" style="1215" customWidth="1"/>
    <col min="12055" max="12055" width="7.1796875" style="1215" customWidth="1"/>
    <col min="12056" max="12056" width="16.54296875" style="1215" bestFit="1" customWidth="1"/>
    <col min="12057" max="12057" width="18.54296875" style="1215" customWidth="1"/>
    <col min="12058" max="12284" width="8.7265625" style="1215" customWidth="1"/>
    <col min="12285" max="12285" width="39.7265625" style="1215" customWidth="1"/>
    <col min="12286" max="12288" width="6.1796875" style="1215" customWidth="1"/>
    <col min="12289" max="12289" width="8.453125" style="1215" bestFit="1" customWidth="1"/>
    <col min="12290" max="12290" width="12.54296875" style="1215" bestFit="1" customWidth="1"/>
    <col min="12291" max="12291" width="27.26953125" style="1215" bestFit="1" customWidth="1"/>
    <col min="12292" max="12292" width="9.1796875" style="1215" customWidth="1"/>
    <col min="12293" max="12293" width="14.7265625" style="1215"/>
    <col min="12294" max="12294" width="32.81640625" style="1215" customWidth="1"/>
    <col min="12295" max="12298" width="5.54296875" style="1215" customWidth="1"/>
    <col min="12299" max="12299" width="7" style="1215" customWidth="1"/>
    <col min="12300" max="12307" width="5.54296875" style="1215" customWidth="1"/>
    <col min="12308" max="12308" width="55" style="1215" customWidth="1"/>
    <col min="12309" max="12309" width="8.7265625" style="1215" customWidth="1"/>
    <col min="12310" max="12310" width="8.1796875" style="1215" customWidth="1"/>
    <col min="12311" max="12311" width="7.1796875" style="1215" customWidth="1"/>
    <col min="12312" max="12312" width="16.54296875" style="1215" bestFit="1" customWidth="1"/>
    <col min="12313" max="12313" width="18.54296875" style="1215" customWidth="1"/>
    <col min="12314" max="12540" width="8.7265625" style="1215" customWidth="1"/>
    <col min="12541" max="12541" width="39.7265625" style="1215" customWidth="1"/>
    <col min="12542" max="12544" width="6.1796875" style="1215" customWidth="1"/>
    <col min="12545" max="12545" width="8.453125" style="1215" bestFit="1" customWidth="1"/>
    <col min="12546" max="12546" width="12.54296875" style="1215" bestFit="1" customWidth="1"/>
    <col min="12547" max="12547" width="27.26953125" style="1215" bestFit="1" customWidth="1"/>
    <col min="12548" max="12548" width="9.1796875" style="1215" customWidth="1"/>
    <col min="12549" max="12549" width="14.7265625" style="1215"/>
    <col min="12550" max="12550" width="32.81640625" style="1215" customWidth="1"/>
    <col min="12551" max="12554" width="5.54296875" style="1215" customWidth="1"/>
    <col min="12555" max="12555" width="7" style="1215" customWidth="1"/>
    <col min="12556" max="12563" width="5.54296875" style="1215" customWidth="1"/>
    <col min="12564" max="12564" width="55" style="1215" customWidth="1"/>
    <col min="12565" max="12565" width="8.7265625" style="1215" customWidth="1"/>
    <col min="12566" max="12566" width="8.1796875" style="1215" customWidth="1"/>
    <col min="12567" max="12567" width="7.1796875" style="1215" customWidth="1"/>
    <col min="12568" max="12568" width="16.54296875" style="1215" bestFit="1" customWidth="1"/>
    <col min="12569" max="12569" width="18.54296875" style="1215" customWidth="1"/>
    <col min="12570" max="12796" width="8.7265625" style="1215" customWidth="1"/>
    <col min="12797" max="12797" width="39.7265625" style="1215" customWidth="1"/>
    <col min="12798" max="12800" width="6.1796875" style="1215" customWidth="1"/>
    <col min="12801" max="12801" width="8.453125" style="1215" bestFit="1" customWidth="1"/>
    <col min="12802" max="12802" width="12.54296875" style="1215" bestFit="1" customWidth="1"/>
    <col min="12803" max="12803" width="27.26953125" style="1215" bestFit="1" customWidth="1"/>
    <col min="12804" max="12804" width="9.1796875" style="1215" customWidth="1"/>
    <col min="12805" max="12805" width="14.7265625" style="1215"/>
    <col min="12806" max="12806" width="32.81640625" style="1215" customWidth="1"/>
    <col min="12807" max="12810" width="5.54296875" style="1215" customWidth="1"/>
    <col min="12811" max="12811" width="7" style="1215" customWidth="1"/>
    <col min="12812" max="12819" width="5.54296875" style="1215" customWidth="1"/>
    <col min="12820" max="12820" width="55" style="1215" customWidth="1"/>
    <col min="12821" max="12821" width="8.7265625" style="1215" customWidth="1"/>
    <col min="12822" max="12822" width="8.1796875" style="1215" customWidth="1"/>
    <col min="12823" max="12823" width="7.1796875" style="1215" customWidth="1"/>
    <col min="12824" max="12824" width="16.54296875" style="1215" bestFit="1" customWidth="1"/>
    <col min="12825" max="12825" width="18.54296875" style="1215" customWidth="1"/>
    <col min="12826" max="13052" width="8.7265625" style="1215" customWidth="1"/>
    <col min="13053" max="13053" width="39.7265625" style="1215" customWidth="1"/>
    <col min="13054" max="13056" width="6.1796875" style="1215" customWidth="1"/>
    <col min="13057" max="13057" width="8.453125" style="1215" bestFit="1" customWidth="1"/>
    <col min="13058" max="13058" width="12.54296875" style="1215" bestFit="1" customWidth="1"/>
    <col min="13059" max="13059" width="27.26953125" style="1215" bestFit="1" customWidth="1"/>
    <col min="13060" max="13060" width="9.1796875" style="1215" customWidth="1"/>
    <col min="13061" max="13061" width="14.7265625" style="1215"/>
    <col min="13062" max="13062" width="32.81640625" style="1215" customWidth="1"/>
    <col min="13063" max="13066" width="5.54296875" style="1215" customWidth="1"/>
    <col min="13067" max="13067" width="7" style="1215" customWidth="1"/>
    <col min="13068" max="13075" width="5.54296875" style="1215" customWidth="1"/>
    <col min="13076" max="13076" width="55" style="1215" customWidth="1"/>
    <col min="13077" max="13077" width="8.7265625" style="1215" customWidth="1"/>
    <col min="13078" max="13078" width="8.1796875" style="1215" customWidth="1"/>
    <col min="13079" max="13079" width="7.1796875" style="1215" customWidth="1"/>
    <col min="13080" max="13080" width="16.54296875" style="1215" bestFit="1" customWidth="1"/>
    <col min="13081" max="13081" width="18.54296875" style="1215" customWidth="1"/>
    <col min="13082" max="13308" width="8.7265625" style="1215" customWidth="1"/>
    <col min="13309" max="13309" width="39.7265625" style="1215" customWidth="1"/>
    <col min="13310" max="13312" width="6.1796875" style="1215" customWidth="1"/>
    <col min="13313" max="13313" width="8.453125" style="1215" bestFit="1" customWidth="1"/>
    <col min="13314" max="13314" width="12.54296875" style="1215" bestFit="1" customWidth="1"/>
    <col min="13315" max="13315" width="27.26953125" style="1215" bestFit="1" customWidth="1"/>
    <col min="13316" max="13316" width="9.1796875" style="1215" customWidth="1"/>
    <col min="13317" max="13317" width="14.7265625" style="1215"/>
    <col min="13318" max="13318" width="32.81640625" style="1215" customWidth="1"/>
    <col min="13319" max="13322" width="5.54296875" style="1215" customWidth="1"/>
    <col min="13323" max="13323" width="7" style="1215" customWidth="1"/>
    <col min="13324" max="13331" width="5.54296875" style="1215" customWidth="1"/>
    <col min="13332" max="13332" width="55" style="1215" customWidth="1"/>
    <col min="13333" max="13333" width="8.7265625" style="1215" customWidth="1"/>
    <col min="13334" max="13334" width="8.1796875" style="1215" customWidth="1"/>
    <col min="13335" max="13335" width="7.1796875" style="1215" customWidth="1"/>
    <col min="13336" max="13336" width="16.54296875" style="1215" bestFit="1" customWidth="1"/>
    <col min="13337" max="13337" width="18.54296875" style="1215" customWidth="1"/>
    <col min="13338" max="13564" width="8.7265625" style="1215" customWidth="1"/>
    <col min="13565" max="13565" width="39.7265625" style="1215" customWidth="1"/>
    <col min="13566" max="13568" width="6.1796875" style="1215" customWidth="1"/>
    <col min="13569" max="13569" width="8.453125" style="1215" bestFit="1" customWidth="1"/>
    <col min="13570" max="13570" width="12.54296875" style="1215" bestFit="1" customWidth="1"/>
    <col min="13571" max="13571" width="27.26953125" style="1215" bestFit="1" customWidth="1"/>
    <col min="13572" max="13572" width="9.1796875" style="1215" customWidth="1"/>
    <col min="13573" max="13573" width="14.7265625" style="1215"/>
    <col min="13574" max="13574" width="32.81640625" style="1215" customWidth="1"/>
    <col min="13575" max="13578" width="5.54296875" style="1215" customWidth="1"/>
    <col min="13579" max="13579" width="7" style="1215" customWidth="1"/>
    <col min="13580" max="13587" width="5.54296875" style="1215" customWidth="1"/>
    <col min="13588" max="13588" width="55" style="1215" customWidth="1"/>
    <col min="13589" max="13589" width="8.7265625" style="1215" customWidth="1"/>
    <col min="13590" max="13590" width="8.1796875" style="1215" customWidth="1"/>
    <col min="13591" max="13591" width="7.1796875" style="1215" customWidth="1"/>
    <col min="13592" max="13592" width="16.54296875" style="1215" bestFit="1" customWidth="1"/>
    <col min="13593" max="13593" width="18.54296875" style="1215" customWidth="1"/>
    <col min="13594" max="13820" width="8.7265625" style="1215" customWidth="1"/>
    <col min="13821" max="13821" width="39.7265625" style="1215" customWidth="1"/>
    <col min="13822" max="13824" width="6.1796875" style="1215" customWidth="1"/>
    <col min="13825" max="13825" width="8.453125" style="1215" bestFit="1" customWidth="1"/>
    <col min="13826" max="13826" width="12.54296875" style="1215" bestFit="1" customWidth="1"/>
    <col min="13827" max="13827" width="27.26953125" style="1215" bestFit="1" customWidth="1"/>
    <col min="13828" max="13828" width="9.1796875" style="1215" customWidth="1"/>
    <col min="13829" max="13829" width="14.7265625" style="1215"/>
    <col min="13830" max="13830" width="32.81640625" style="1215" customWidth="1"/>
    <col min="13831" max="13834" width="5.54296875" style="1215" customWidth="1"/>
    <col min="13835" max="13835" width="7" style="1215" customWidth="1"/>
    <col min="13836" max="13843" width="5.54296875" style="1215" customWidth="1"/>
    <col min="13844" max="13844" width="55" style="1215" customWidth="1"/>
    <col min="13845" max="13845" width="8.7265625" style="1215" customWidth="1"/>
    <col min="13846" max="13846" width="8.1796875" style="1215" customWidth="1"/>
    <col min="13847" max="13847" width="7.1796875" style="1215" customWidth="1"/>
    <col min="13848" max="13848" width="16.54296875" style="1215" bestFit="1" customWidth="1"/>
    <col min="13849" max="13849" width="18.54296875" style="1215" customWidth="1"/>
    <col min="13850" max="14076" width="8.7265625" style="1215" customWidth="1"/>
    <col min="14077" max="14077" width="39.7265625" style="1215" customWidth="1"/>
    <col min="14078" max="14080" width="6.1796875" style="1215" customWidth="1"/>
    <col min="14081" max="14081" width="8.453125" style="1215" bestFit="1" customWidth="1"/>
    <col min="14082" max="14082" width="12.54296875" style="1215" bestFit="1" customWidth="1"/>
    <col min="14083" max="14083" width="27.26953125" style="1215" bestFit="1" customWidth="1"/>
    <col min="14084" max="14084" width="9.1796875" style="1215" customWidth="1"/>
    <col min="14085" max="14085" width="14.7265625" style="1215"/>
    <col min="14086" max="14086" width="32.81640625" style="1215" customWidth="1"/>
    <col min="14087" max="14090" width="5.54296875" style="1215" customWidth="1"/>
    <col min="14091" max="14091" width="7" style="1215" customWidth="1"/>
    <col min="14092" max="14099" width="5.54296875" style="1215" customWidth="1"/>
    <col min="14100" max="14100" width="55" style="1215" customWidth="1"/>
    <col min="14101" max="14101" width="8.7265625" style="1215" customWidth="1"/>
    <col min="14102" max="14102" width="8.1796875" style="1215" customWidth="1"/>
    <col min="14103" max="14103" width="7.1796875" style="1215" customWidth="1"/>
    <col min="14104" max="14104" width="16.54296875" style="1215" bestFit="1" customWidth="1"/>
    <col min="14105" max="14105" width="18.54296875" style="1215" customWidth="1"/>
    <col min="14106" max="14332" width="8.7265625" style="1215" customWidth="1"/>
    <col min="14333" max="14333" width="39.7265625" style="1215" customWidth="1"/>
    <col min="14334" max="14336" width="6.1796875" style="1215" customWidth="1"/>
    <col min="14337" max="14337" width="8.453125" style="1215" bestFit="1" customWidth="1"/>
    <col min="14338" max="14338" width="12.54296875" style="1215" bestFit="1" customWidth="1"/>
    <col min="14339" max="14339" width="27.26953125" style="1215" bestFit="1" customWidth="1"/>
    <col min="14340" max="14340" width="9.1796875" style="1215" customWidth="1"/>
    <col min="14341" max="14341" width="14.7265625" style="1215"/>
    <col min="14342" max="14342" width="32.81640625" style="1215" customWidth="1"/>
    <col min="14343" max="14346" width="5.54296875" style="1215" customWidth="1"/>
    <col min="14347" max="14347" width="7" style="1215" customWidth="1"/>
    <col min="14348" max="14355" width="5.54296875" style="1215" customWidth="1"/>
    <col min="14356" max="14356" width="55" style="1215" customWidth="1"/>
    <col min="14357" max="14357" width="8.7265625" style="1215" customWidth="1"/>
    <col min="14358" max="14358" width="8.1796875" style="1215" customWidth="1"/>
    <col min="14359" max="14359" width="7.1796875" style="1215" customWidth="1"/>
    <col min="14360" max="14360" width="16.54296875" style="1215" bestFit="1" customWidth="1"/>
    <col min="14361" max="14361" width="18.54296875" style="1215" customWidth="1"/>
    <col min="14362" max="14588" width="8.7265625" style="1215" customWidth="1"/>
    <col min="14589" max="14589" width="39.7265625" style="1215" customWidth="1"/>
    <col min="14590" max="14592" width="6.1796875" style="1215" customWidth="1"/>
    <col min="14593" max="14593" width="8.453125" style="1215" bestFit="1" customWidth="1"/>
    <col min="14594" max="14594" width="12.54296875" style="1215" bestFit="1" customWidth="1"/>
    <col min="14595" max="14595" width="27.26953125" style="1215" bestFit="1" customWidth="1"/>
    <col min="14596" max="14596" width="9.1796875" style="1215" customWidth="1"/>
    <col min="14597" max="14597" width="14.7265625" style="1215"/>
    <col min="14598" max="14598" width="32.81640625" style="1215" customWidth="1"/>
    <col min="14599" max="14602" width="5.54296875" style="1215" customWidth="1"/>
    <col min="14603" max="14603" width="7" style="1215" customWidth="1"/>
    <col min="14604" max="14611" width="5.54296875" style="1215" customWidth="1"/>
    <col min="14612" max="14612" width="55" style="1215" customWidth="1"/>
    <col min="14613" max="14613" width="8.7265625" style="1215" customWidth="1"/>
    <col min="14614" max="14614" width="8.1796875" style="1215" customWidth="1"/>
    <col min="14615" max="14615" width="7.1796875" style="1215" customWidth="1"/>
    <col min="14616" max="14616" width="16.54296875" style="1215" bestFit="1" customWidth="1"/>
    <col min="14617" max="14617" width="18.54296875" style="1215" customWidth="1"/>
    <col min="14618" max="14844" width="8.7265625" style="1215" customWidth="1"/>
    <col min="14845" max="14845" width="39.7265625" style="1215" customWidth="1"/>
    <col min="14846" max="14848" width="6.1796875" style="1215" customWidth="1"/>
    <col min="14849" max="14849" width="8.453125" style="1215" bestFit="1" customWidth="1"/>
    <col min="14850" max="14850" width="12.54296875" style="1215" bestFit="1" customWidth="1"/>
    <col min="14851" max="14851" width="27.26953125" style="1215" bestFit="1" customWidth="1"/>
    <col min="14852" max="14852" width="9.1796875" style="1215" customWidth="1"/>
    <col min="14853" max="14853" width="14.7265625" style="1215"/>
    <col min="14854" max="14854" width="32.81640625" style="1215" customWidth="1"/>
    <col min="14855" max="14858" width="5.54296875" style="1215" customWidth="1"/>
    <col min="14859" max="14859" width="7" style="1215" customWidth="1"/>
    <col min="14860" max="14867" width="5.54296875" style="1215" customWidth="1"/>
    <col min="14868" max="14868" width="55" style="1215" customWidth="1"/>
    <col min="14869" max="14869" width="8.7265625" style="1215" customWidth="1"/>
    <col min="14870" max="14870" width="8.1796875" style="1215" customWidth="1"/>
    <col min="14871" max="14871" width="7.1796875" style="1215" customWidth="1"/>
    <col min="14872" max="14872" width="16.54296875" style="1215" bestFit="1" customWidth="1"/>
    <col min="14873" max="14873" width="18.54296875" style="1215" customWidth="1"/>
    <col min="14874" max="15100" width="8.7265625" style="1215" customWidth="1"/>
    <col min="15101" max="15101" width="39.7265625" style="1215" customWidth="1"/>
    <col min="15102" max="15104" width="6.1796875" style="1215" customWidth="1"/>
    <col min="15105" max="15105" width="8.453125" style="1215" bestFit="1" customWidth="1"/>
    <col min="15106" max="15106" width="12.54296875" style="1215" bestFit="1" customWidth="1"/>
    <col min="15107" max="15107" width="27.26953125" style="1215" bestFit="1" customWidth="1"/>
    <col min="15108" max="15108" width="9.1796875" style="1215" customWidth="1"/>
    <col min="15109" max="15109" width="14.7265625" style="1215"/>
    <col min="15110" max="15110" width="32.81640625" style="1215" customWidth="1"/>
    <col min="15111" max="15114" width="5.54296875" style="1215" customWidth="1"/>
    <col min="15115" max="15115" width="7" style="1215" customWidth="1"/>
    <col min="15116" max="15123" width="5.54296875" style="1215" customWidth="1"/>
    <col min="15124" max="15124" width="55" style="1215" customWidth="1"/>
    <col min="15125" max="15125" width="8.7265625" style="1215" customWidth="1"/>
    <col min="15126" max="15126" width="8.1796875" style="1215" customWidth="1"/>
    <col min="15127" max="15127" width="7.1796875" style="1215" customWidth="1"/>
    <col min="15128" max="15128" width="16.54296875" style="1215" bestFit="1" customWidth="1"/>
    <col min="15129" max="15129" width="18.54296875" style="1215" customWidth="1"/>
    <col min="15130" max="15356" width="8.7265625" style="1215" customWidth="1"/>
    <col min="15357" max="15357" width="39.7265625" style="1215" customWidth="1"/>
    <col min="15358" max="15360" width="6.1796875" style="1215" customWidth="1"/>
    <col min="15361" max="15361" width="8.453125" style="1215" bestFit="1" customWidth="1"/>
    <col min="15362" max="15362" width="12.54296875" style="1215" bestFit="1" customWidth="1"/>
    <col min="15363" max="15363" width="27.26953125" style="1215" bestFit="1" customWidth="1"/>
    <col min="15364" max="15364" width="9.1796875" style="1215" customWidth="1"/>
    <col min="15365" max="15365" width="14.7265625" style="1215"/>
    <col min="15366" max="15366" width="32.81640625" style="1215" customWidth="1"/>
    <col min="15367" max="15370" width="5.54296875" style="1215" customWidth="1"/>
    <col min="15371" max="15371" width="7" style="1215" customWidth="1"/>
    <col min="15372" max="15379" width="5.54296875" style="1215" customWidth="1"/>
    <col min="15380" max="15380" width="55" style="1215" customWidth="1"/>
    <col min="15381" max="15381" width="8.7265625" style="1215" customWidth="1"/>
    <col min="15382" max="15382" width="8.1796875" style="1215" customWidth="1"/>
    <col min="15383" max="15383" width="7.1796875" style="1215" customWidth="1"/>
    <col min="15384" max="15384" width="16.54296875" style="1215" bestFit="1" customWidth="1"/>
    <col min="15385" max="15385" width="18.54296875" style="1215" customWidth="1"/>
    <col min="15386" max="15612" width="8.7265625" style="1215" customWidth="1"/>
    <col min="15613" max="15613" width="39.7265625" style="1215" customWidth="1"/>
    <col min="15614" max="15616" width="6.1796875" style="1215" customWidth="1"/>
    <col min="15617" max="15617" width="8.453125" style="1215" bestFit="1" customWidth="1"/>
    <col min="15618" max="15618" width="12.54296875" style="1215" bestFit="1" customWidth="1"/>
    <col min="15619" max="15619" width="27.26953125" style="1215" bestFit="1" customWidth="1"/>
    <col min="15620" max="15620" width="9.1796875" style="1215" customWidth="1"/>
    <col min="15621" max="15621" width="14.7265625" style="1215"/>
    <col min="15622" max="15622" width="32.81640625" style="1215" customWidth="1"/>
    <col min="15623" max="15626" width="5.54296875" style="1215" customWidth="1"/>
    <col min="15627" max="15627" width="7" style="1215" customWidth="1"/>
    <col min="15628" max="15635" width="5.54296875" style="1215" customWidth="1"/>
    <col min="15636" max="15636" width="55" style="1215" customWidth="1"/>
    <col min="15637" max="15637" width="8.7265625" style="1215" customWidth="1"/>
    <col min="15638" max="15638" width="8.1796875" style="1215" customWidth="1"/>
    <col min="15639" max="15639" width="7.1796875" style="1215" customWidth="1"/>
    <col min="15640" max="15640" width="16.54296875" style="1215" bestFit="1" customWidth="1"/>
    <col min="15641" max="15641" width="18.54296875" style="1215" customWidth="1"/>
    <col min="15642" max="15868" width="8.7265625" style="1215" customWidth="1"/>
    <col min="15869" max="15869" width="39.7265625" style="1215" customWidth="1"/>
    <col min="15870" max="15872" width="6.1796875" style="1215" customWidth="1"/>
    <col min="15873" max="15873" width="8.453125" style="1215" bestFit="1" customWidth="1"/>
    <col min="15874" max="15874" width="12.54296875" style="1215" bestFit="1" customWidth="1"/>
    <col min="15875" max="15875" width="27.26953125" style="1215" bestFit="1" customWidth="1"/>
    <col min="15876" max="15876" width="9.1796875" style="1215" customWidth="1"/>
    <col min="15877" max="15877" width="14.7265625" style="1215"/>
    <col min="15878" max="15878" width="32.81640625" style="1215" customWidth="1"/>
    <col min="15879" max="15882" width="5.54296875" style="1215" customWidth="1"/>
    <col min="15883" max="15883" width="7" style="1215" customWidth="1"/>
    <col min="15884" max="15891" width="5.54296875" style="1215" customWidth="1"/>
    <col min="15892" max="15892" width="55" style="1215" customWidth="1"/>
    <col min="15893" max="15893" width="8.7265625" style="1215" customWidth="1"/>
    <col min="15894" max="15894" width="8.1796875" style="1215" customWidth="1"/>
    <col min="15895" max="15895" width="7.1796875" style="1215" customWidth="1"/>
    <col min="15896" max="15896" width="16.54296875" style="1215" bestFit="1" customWidth="1"/>
    <col min="15897" max="15897" width="18.54296875" style="1215" customWidth="1"/>
    <col min="15898" max="16124" width="8.7265625" style="1215" customWidth="1"/>
    <col min="16125" max="16125" width="39.7265625" style="1215" customWidth="1"/>
    <col min="16126" max="16128" width="6.1796875" style="1215" customWidth="1"/>
    <col min="16129" max="16129" width="8.453125" style="1215" bestFit="1" customWidth="1"/>
    <col min="16130" max="16130" width="12.54296875" style="1215" bestFit="1" customWidth="1"/>
    <col min="16131" max="16131" width="27.26953125" style="1215" bestFit="1" customWidth="1"/>
    <col min="16132" max="16132" width="9.1796875" style="1215" customWidth="1"/>
    <col min="16133" max="16133" width="14.7265625" style="1215"/>
    <col min="16134" max="16134" width="32.81640625" style="1215" customWidth="1"/>
    <col min="16135" max="16138" width="5.54296875" style="1215" customWidth="1"/>
    <col min="16139" max="16139" width="7" style="1215" customWidth="1"/>
    <col min="16140" max="16147" width="5.54296875" style="1215" customWidth="1"/>
    <col min="16148" max="16148" width="55" style="1215" customWidth="1"/>
    <col min="16149" max="16149" width="8.7265625" style="1215" customWidth="1"/>
    <col min="16150" max="16150" width="8.1796875" style="1215" customWidth="1"/>
    <col min="16151" max="16151" width="7.1796875" style="1215" customWidth="1"/>
    <col min="16152" max="16152" width="16.54296875" style="1215" bestFit="1" customWidth="1"/>
    <col min="16153" max="16153" width="18.54296875" style="1215" customWidth="1"/>
    <col min="16154" max="16380" width="8.7265625" style="1215" customWidth="1"/>
    <col min="16381" max="16384" width="39.7265625" style="1215" customWidth="1"/>
  </cols>
  <sheetData>
    <row r="1" spans="1:29" ht="32.5" customHeight="1" thickBot="1" x14ac:dyDescent="0.35">
      <c r="B1" s="1213"/>
      <c r="C1" s="1214"/>
      <c r="D1" s="1214"/>
      <c r="E1" s="1213" t="s">
        <v>1213</v>
      </c>
      <c r="F1" s="1214"/>
      <c r="G1" s="1214"/>
      <c r="H1" s="1214"/>
      <c r="I1" s="1214"/>
      <c r="J1" s="1214"/>
      <c r="K1" s="1214"/>
      <c r="L1" s="1214"/>
      <c r="M1" s="1214"/>
      <c r="N1" s="1214"/>
      <c r="O1" s="1214"/>
      <c r="P1" s="1214"/>
      <c r="Q1" s="1214"/>
      <c r="R1" s="1214"/>
      <c r="S1" s="1214"/>
      <c r="T1" s="1214"/>
      <c r="U1" s="1214"/>
      <c r="V1" s="1214"/>
      <c r="W1" s="1214"/>
      <c r="X1" s="1214"/>
    </row>
    <row r="2" spans="1:29" x14ac:dyDescent="0.3">
      <c r="A2" s="1476" t="s">
        <v>282</v>
      </c>
      <c r="B2" s="1479" t="s">
        <v>51</v>
      </c>
      <c r="C2" s="1480"/>
      <c r="D2" s="1480"/>
      <c r="E2" s="1480"/>
      <c r="F2" s="1480"/>
      <c r="G2" s="1480"/>
      <c r="H2" s="1480"/>
      <c r="I2" s="1480"/>
      <c r="J2" s="1480"/>
      <c r="K2" s="1480"/>
      <c r="L2" s="1480"/>
      <c r="M2" s="1480"/>
      <c r="N2" s="1480"/>
      <c r="O2" s="1480"/>
      <c r="P2" s="1480"/>
      <c r="Q2" s="1480"/>
      <c r="R2" s="1480"/>
      <c r="S2" s="1481"/>
      <c r="T2" s="1482" t="s">
        <v>52</v>
      </c>
      <c r="U2" s="1485" t="s">
        <v>53</v>
      </c>
      <c r="V2" s="1485" t="s">
        <v>53</v>
      </c>
      <c r="W2" s="1485" t="s">
        <v>1214</v>
      </c>
      <c r="X2" s="1473" t="s">
        <v>1215</v>
      </c>
      <c r="AA2" s="1216"/>
      <c r="AB2" s="1216"/>
      <c r="AC2" s="1216"/>
    </row>
    <row r="3" spans="1:29" x14ac:dyDescent="0.3">
      <c r="A3" s="1477"/>
      <c r="B3" s="1217">
        <f>SUM(B6:B63)</f>
        <v>0</v>
      </c>
      <c r="C3" s="1217">
        <f>SUM(C6:C63)</f>
        <v>0</v>
      </c>
      <c r="D3" s="1217">
        <f>SUM(D6:D63)</f>
        <v>0</v>
      </c>
      <c r="E3" s="1217"/>
      <c r="F3" s="1217"/>
      <c r="G3" s="1217"/>
      <c r="H3" s="1217"/>
      <c r="I3" s="1217"/>
      <c r="J3" s="1217"/>
      <c r="K3" s="1217"/>
      <c r="L3" s="1217"/>
      <c r="M3" s="1217"/>
      <c r="N3" s="1217"/>
      <c r="O3" s="1217"/>
      <c r="P3" s="1217"/>
      <c r="Q3" s="1217"/>
      <c r="R3" s="1217"/>
      <c r="S3" s="1217"/>
      <c r="T3" s="1483"/>
      <c r="U3" s="1486"/>
      <c r="V3" s="1486"/>
      <c r="W3" s="1486"/>
      <c r="X3" s="1474"/>
    </row>
    <row r="4" spans="1:29" s="1222" customFormat="1" ht="13.5" thickBot="1" x14ac:dyDescent="0.35">
      <c r="A4" s="1478"/>
      <c r="B4" s="1218">
        <v>2018</v>
      </c>
      <c r="C4" s="1219">
        <v>2019</v>
      </c>
      <c r="D4" s="1219">
        <v>2020</v>
      </c>
      <c r="E4" s="1220">
        <v>2021</v>
      </c>
      <c r="F4" s="1220">
        <v>2022</v>
      </c>
      <c r="G4" s="1220">
        <v>2023</v>
      </c>
      <c r="H4" s="1220">
        <v>2024</v>
      </c>
      <c r="I4" s="1220">
        <v>2025</v>
      </c>
      <c r="J4" s="1221">
        <v>2026</v>
      </c>
      <c r="K4" s="1221">
        <v>2027</v>
      </c>
      <c r="L4" s="1221">
        <v>2028</v>
      </c>
      <c r="M4" s="1221">
        <v>2029</v>
      </c>
      <c r="N4" s="1221">
        <v>2030</v>
      </c>
      <c r="O4" s="1221">
        <v>2031</v>
      </c>
      <c r="P4" s="1221">
        <v>2032</v>
      </c>
      <c r="Q4" s="1221">
        <v>2033</v>
      </c>
      <c r="R4" s="1221">
        <v>2034</v>
      </c>
      <c r="S4" s="1221">
        <v>2035</v>
      </c>
      <c r="T4" s="1484"/>
      <c r="U4" s="1487"/>
      <c r="V4" s="1487"/>
      <c r="W4" s="1487"/>
      <c r="X4" s="1475"/>
    </row>
    <row r="5" spans="1:29" s="1222" customFormat="1" x14ac:dyDescent="0.3">
      <c r="A5" s="1223">
        <v>1</v>
      </c>
      <c r="B5" s="1223">
        <v>2</v>
      </c>
      <c r="C5" s="1223">
        <v>3</v>
      </c>
      <c r="D5" s="1223">
        <v>4</v>
      </c>
      <c r="E5" s="1223">
        <v>2</v>
      </c>
      <c r="F5" s="1223">
        <v>3</v>
      </c>
      <c r="G5" s="1223">
        <v>4</v>
      </c>
      <c r="H5" s="1223">
        <v>5</v>
      </c>
      <c r="I5" s="1223">
        <v>6</v>
      </c>
      <c r="J5" s="1223">
        <v>7</v>
      </c>
      <c r="K5" s="1223">
        <v>8</v>
      </c>
      <c r="L5" s="1223">
        <v>9</v>
      </c>
      <c r="M5" s="1223">
        <v>10</v>
      </c>
      <c r="N5" s="1223">
        <v>11</v>
      </c>
      <c r="O5" s="1223">
        <v>12</v>
      </c>
      <c r="P5" s="1223">
        <v>13</v>
      </c>
      <c r="Q5" s="1223">
        <v>14</v>
      </c>
      <c r="R5" s="1223">
        <v>15</v>
      </c>
      <c r="S5" s="1223">
        <v>16</v>
      </c>
      <c r="T5" s="1223">
        <v>17</v>
      </c>
      <c r="U5" s="1223">
        <v>18</v>
      </c>
      <c r="V5" s="1223">
        <v>19</v>
      </c>
      <c r="W5" s="1223">
        <v>20</v>
      </c>
      <c r="X5" s="1223">
        <v>21</v>
      </c>
      <c r="Z5" s="1222" t="s">
        <v>1316</v>
      </c>
    </row>
    <row r="6" spans="1:29" s="1222" customFormat="1" x14ac:dyDescent="0.3">
      <c r="A6" s="1224" t="s">
        <v>55</v>
      </c>
      <c r="B6" s="1225"/>
      <c r="C6" s="1225"/>
      <c r="D6" s="1225"/>
      <c r="E6" s="1226"/>
      <c r="F6" s="1227"/>
      <c r="G6" s="1226"/>
      <c r="H6" s="1226"/>
      <c r="I6" s="1226"/>
      <c r="J6" s="1226"/>
      <c r="K6" s="1226"/>
      <c r="L6" s="1226"/>
      <c r="M6" s="1226"/>
      <c r="N6" s="1226"/>
      <c r="O6" s="1226"/>
      <c r="P6" s="1226"/>
      <c r="Q6" s="1226"/>
      <c r="R6" s="1226"/>
      <c r="S6" s="1226"/>
      <c r="T6" s="1228"/>
      <c r="U6" s="1229"/>
      <c r="V6" s="1229"/>
      <c r="W6" s="1229"/>
      <c r="X6" s="1229"/>
      <c r="Z6" s="1222">
        <v>1</v>
      </c>
    </row>
    <row r="7" spans="1:29" s="1232" customFormat="1" ht="26" x14ac:dyDescent="0.3">
      <c r="A7" s="1230" t="s">
        <v>283</v>
      </c>
      <c r="B7" s="1231"/>
      <c r="C7" s="1231"/>
      <c r="D7" s="1231"/>
      <c r="E7" s="1231"/>
      <c r="G7" s="1231">
        <v>10</v>
      </c>
      <c r="H7" s="1231">
        <v>10</v>
      </c>
      <c r="I7" s="1233"/>
      <c r="J7" s="1233"/>
      <c r="K7" s="1233"/>
      <c r="L7" s="1233"/>
      <c r="M7" s="1233"/>
      <c r="N7" s="1233"/>
      <c r="O7" s="1233"/>
      <c r="P7" s="1233"/>
      <c r="Q7" s="1233"/>
      <c r="R7" s="1233"/>
      <c r="S7" s="1234"/>
      <c r="T7" s="1235" t="s">
        <v>1216</v>
      </c>
      <c r="U7" s="1236">
        <v>17.5</v>
      </c>
      <c r="V7" s="1236">
        <v>26</v>
      </c>
      <c r="W7" s="1236">
        <v>8.5</v>
      </c>
      <c r="X7" s="1237">
        <v>19029</v>
      </c>
      <c r="Y7" s="1238"/>
      <c r="Z7" s="1222">
        <f t="shared" ref="Z7:Z66" si="0">SUM(G7:K7)</f>
        <v>20</v>
      </c>
      <c r="AA7" s="1239"/>
    </row>
    <row r="8" spans="1:29" s="1232" customFormat="1" x14ac:dyDescent="0.3">
      <c r="A8" s="1230" t="s">
        <v>1217</v>
      </c>
      <c r="B8" s="1231"/>
      <c r="C8" s="1231"/>
      <c r="D8" s="1231"/>
      <c r="E8" s="1231"/>
      <c r="F8" s="1240"/>
      <c r="G8" s="1236">
        <v>10</v>
      </c>
      <c r="H8" s="1240"/>
      <c r="I8" s="1240"/>
      <c r="J8" s="1233"/>
      <c r="K8" s="1233"/>
      <c r="L8" s="1233">
        <v>5</v>
      </c>
      <c r="M8" s="1233">
        <v>5</v>
      </c>
      <c r="N8" s="1233"/>
      <c r="O8" s="1233"/>
      <c r="P8" s="1233"/>
      <c r="Q8" s="1233"/>
      <c r="R8" s="1233"/>
      <c r="S8" s="1234"/>
      <c r="T8" s="1235" t="s">
        <v>1218</v>
      </c>
      <c r="U8" s="1241">
        <v>26</v>
      </c>
      <c r="V8" s="1241">
        <v>65</v>
      </c>
      <c r="W8" s="1241">
        <v>39</v>
      </c>
      <c r="X8" s="1237" t="s">
        <v>1219</v>
      </c>
      <c r="Y8" s="1238"/>
      <c r="Z8" s="1222">
        <f t="shared" si="0"/>
        <v>10</v>
      </c>
      <c r="AA8" s="1239"/>
    </row>
    <row r="9" spans="1:29" s="1232" customFormat="1" x14ac:dyDescent="0.3">
      <c r="A9" s="1242" t="s">
        <v>1220</v>
      </c>
      <c r="B9" s="1243"/>
      <c r="C9" s="1243"/>
      <c r="D9" s="1243"/>
      <c r="E9" s="1243"/>
      <c r="F9" s="1243"/>
      <c r="G9" s="1244"/>
      <c r="H9" s="1243"/>
      <c r="I9" s="1243"/>
      <c r="J9" s="1245"/>
      <c r="K9" s="1245"/>
      <c r="L9" s="1245"/>
      <c r="M9" s="1245"/>
      <c r="N9" s="1245">
        <v>5</v>
      </c>
      <c r="O9" s="1245">
        <v>5</v>
      </c>
      <c r="P9" s="1245"/>
      <c r="Q9" s="1245"/>
      <c r="R9" s="1245"/>
      <c r="S9" s="1246"/>
      <c r="T9" s="1247" t="s">
        <v>1221</v>
      </c>
      <c r="U9" s="1248">
        <v>65</v>
      </c>
      <c r="V9" s="1248">
        <v>80</v>
      </c>
      <c r="W9" s="1248">
        <f>V9-U9</f>
        <v>15</v>
      </c>
      <c r="X9" s="1249" t="s">
        <v>1222</v>
      </c>
      <c r="Y9" s="1238"/>
      <c r="Z9" s="1222">
        <f t="shared" si="0"/>
        <v>0</v>
      </c>
      <c r="AA9" s="1239"/>
    </row>
    <row r="10" spans="1:29" s="1232" customFormat="1" x14ac:dyDescent="0.3">
      <c r="A10" s="1230" t="s">
        <v>1223</v>
      </c>
      <c r="B10" s="1231"/>
      <c r="C10" s="1231"/>
      <c r="D10" s="1231"/>
      <c r="E10" s="1231"/>
      <c r="F10" s="1240"/>
      <c r="G10" s="1250"/>
      <c r="H10" s="1250"/>
      <c r="I10" s="1231">
        <v>5</v>
      </c>
      <c r="J10" s="1231">
        <v>8</v>
      </c>
      <c r="K10" s="1233"/>
      <c r="L10" s="1233"/>
      <c r="M10" s="1233"/>
      <c r="N10" s="1233"/>
      <c r="O10" s="1233"/>
      <c r="P10" s="1233"/>
      <c r="Q10" s="1233"/>
      <c r="R10" s="1233"/>
      <c r="S10" s="1233"/>
      <c r="T10" s="1251" t="s">
        <v>1224</v>
      </c>
      <c r="U10" s="1252">
        <v>90</v>
      </c>
      <c r="V10" s="1252">
        <v>94</v>
      </c>
      <c r="W10" s="1252">
        <f>V10-U10</f>
        <v>4</v>
      </c>
      <c r="X10" s="1253" t="s">
        <v>1225</v>
      </c>
      <c r="Y10" s="1254"/>
      <c r="Z10" s="1222">
        <f t="shared" si="0"/>
        <v>13</v>
      </c>
      <c r="AA10" s="1239"/>
    </row>
    <row r="11" spans="1:29" s="1232" customFormat="1" x14ac:dyDescent="0.3">
      <c r="A11" s="1242" t="s">
        <v>1226</v>
      </c>
      <c r="B11" s="1243"/>
      <c r="C11" s="1243"/>
      <c r="D11" s="1243"/>
      <c r="E11" s="1243"/>
      <c r="F11" s="1243"/>
      <c r="G11" s="1255"/>
      <c r="H11" s="1255"/>
      <c r="I11" s="1243"/>
      <c r="J11" s="1243"/>
      <c r="K11" s="1245"/>
      <c r="L11" s="1245"/>
      <c r="M11" s="1245"/>
      <c r="N11" s="1245">
        <v>8</v>
      </c>
      <c r="O11" s="1245">
        <v>5</v>
      </c>
      <c r="P11" s="1245"/>
      <c r="Q11" s="1245"/>
      <c r="R11" s="1245"/>
      <c r="S11" s="1245"/>
      <c r="T11" s="1247" t="s">
        <v>1227</v>
      </c>
      <c r="U11" s="1256">
        <v>94</v>
      </c>
      <c r="V11" s="1256">
        <v>99</v>
      </c>
      <c r="W11" s="1256">
        <f t="shared" ref="W11:W13" si="1">V11-U11</f>
        <v>5</v>
      </c>
      <c r="X11" s="1257" t="s">
        <v>1228</v>
      </c>
      <c r="Y11" s="1254"/>
      <c r="Z11" s="1222">
        <f t="shared" si="0"/>
        <v>0</v>
      </c>
      <c r="AA11" s="1239"/>
    </row>
    <row r="12" spans="1:29" s="1232" customFormat="1" x14ac:dyDescent="0.3">
      <c r="A12" s="1230" t="s">
        <v>1229</v>
      </c>
      <c r="B12" s="1231"/>
      <c r="C12" s="1231"/>
      <c r="D12" s="1231"/>
      <c r="E12" s="1231"/>
      <c r="F12" s="1240"/>
      <c r="G12" s="1250"/>
      <c r="H12" s="1250"/>
      <c r="I12" s="1231">
        <v>5</v>
      </c>
      <c r="J12" s="1231">
        <v>8</v>
      </c>
      <c r="K12" s="1233"/>
      <c r="L12" s="1233"/>
      <c r="M12" s="1233"/>
      <c r="N12" s="1233"/>
      <c r="O12" s="1233"/>
      <c r="P12" s="1233"/>
      <c r="Q12" s="1233"/>
      <c r="R12" s="1233"/>
      <c r="S12" s="1233"/>
      <c r="T12" s="1251" t="s">
        <v>1230</v>
      </c>
      <c r="U12" s="1252">
        <v>99</v>
      </c>
      <c r="V12" s="1252">
        <v>103</v>
      </c>
      <c r="W12" s="1252">
        <f t="shared" si="1"/>
        <v>4</v>
      </c>
      <c r="X12" s="1253" t="s">
        <v>1231</v>
      </c>
      <c r="Y12" s="1254"/>
      <c r="Z12" s="1222">
        <f t="shared" si="0"/>
        <v>13</v>
      </c>
      <c r="AA12" s="1239"/>
    </row>
    <row r="13" spans="1:29" s="1232" customFormat="1" x14ac:dyDescent="0.3">
      <c r="A13" s="1242" t="s">
        <v>1232</v>
      </c>
      <c r="B13" s="1243"/>
      <c r="C13" s="1243"/>
      <c r="D13" s="1243"/>
      <c r="E13" s="1243"/>
      <c r="F13" s="1243"/>
      <c r="G13" s="1255"/>
      <c r="H13" s="1255"/>
      <c r="I13" s="1243"/>
      <c r="J13" s="1243"/>
      <c r="K13" s="1245"/>
      <c r="L13" s="1245"/>
      <c r="M13" s="1245"/>
      <c r="N13" s="1245"/>
      <c r="O13" s="1245">
        <v>8</v>
      </c>
      <c r="P13" s="1245">
        <v>7</v>
      </c>
      <c r="Q13" s="1245">
        <v>7</v>
      </c>
      <c r="R13" s="1245"/>
      <c r="S13" s="1245">
        <v>20</v>
      </c>
      <c r="T13" s="1258" t="s">
        <v>1233</v>
      </c>
      <c r="U13" s="1256">
        <v>103</v>
      </c>
      <c r="V13" s="1256">
        <v>157</v>
      </c>
      <c r="W13" s="1256">
        <f t="shared" si="1"/>
        <v>54</v>
      </c>
      <c r="X13" s="1257" t="s">
        <v>1234</v>
      </c>
      <c r="Y13" s="1254"/>
      <c r="Z13" s="1222">
        <f t="shared" si="0"/>
        <v>0</v>
      </c>
      <c r="AA13" s="1239"/>
    </row>
    <row r="14" spans="1:29" s="1232" customFormat="1" x14ac:dyDescent="0.3">
      <c r="A14" s="1230" t="s">
        <v>1235</v>
      </c>
      <c r="B14" s="1231"/>
      <c r="C14" s="1231"/>
      <c r="D14" s="1231"/>
      <c r="E14" s="1231"/>
      <c r="F14" s="1240"/>
      <c r="G14" s="1231">
        <v>11</v>
      </c>
      <c r="H14" s="1231">
        <v>11</v>
      </c>
      <c r="I14" s="1233"/>
      <c r="J14" s="1233"/>
      <c r="K14" s="1233"/>
      <c r="L14" s="1233"/>
      <c r="M14" s="1233"/>
      <c r="N14" s="1233"/>
      <c r="O14" s="1233"/>
      <c r="P14" s="1233"/>
      <c r="Q14" s="1233"/>
      <c r="R14" s="1233"/>
      <c r="S14" s="1233"/>
      <c r="T14" s="1235" t="s">
        <v>1236</v>
      </c>
      <c r="U14" s="1252">
        <v>163.6</v>
      </c>
      <c r="V14" s="1252">
        <v>168</v>
      </c>
      <c r="W14" s="1252">
        <f>V14-U14</f>
        <v>4.4000000000000057</v>
      </c>
      <c r="X14" s="1253">
        <v>7308</v>
      </c>
      <c r="Y14" s="1259"/>
      <c r="Z14" s="1222">
        <f t="shared" si="0"/>
        <v>22</v>
      </c>
      <c r="AA14" s="1239"/>
    </row>
    <row r="15" spans="1:29" s="1232" customFormat="1" x14ac:dyDescent="0.3">
      <c r="A15" s="1230" t="s">
        <v>1237</v>
      </c>
      <c r="B15" s="1231"/>
      <c r="C15" s="1231"/>
      <c r="D15" s="1231"/>
      <c r="E15" s="1231"/>
      <c r="F15" s="1240"/>
      <c r="G15" s="1231"/>
      <c r="H15" s="1231"/>
      <c r="I15" s="1233"/>
      <c r="J15" s="1233"/>
      <c r="K15" s="1233">
        <v>15</v>
      </c>
      <c r="L15" s="1332">
        <v>25</v>
      </c>
      <c r="M15" s="1233">
        <v>12</v>
      </c>
      <c r="N15" s="1233"/>
      <c r="O15" s="1233"/>
      <c r="P15" s="1233"/>
      <c r="Q15" s="1233"/>
      <c r="R15" s="1233"/>
      <c r="S15" s="1233"/>
      <c r="T15" s="1235" t="s">
        <v>1227</v>
      </c>
      <c r="U15" s="1252">
        <v>168</v>
      </c>
      <c r="V15" s="1252">
        <v>183.2</v>
      </c>
      <c r="W15" s="1252"/>
      <c r="X15" s="1253" t="s">
        <v>1238</v>
      </c>
      <c r="Y15" s="1254"/>
      <c r="Z15" s="1222">
        <f t="shared" si="0"/>
        <v>15</v>
      </c>
      <c r="AA15" s="1239"/>
    </row>
    <row r="16" spans="1:29" s="1232" customFormat="1" x14ac:dyDescent="0.3">
      <c r="A16" s="1230" t="s">
        <v>1239</v>
      </c>
      <c r="B16" s="1231"/>
      <c r="C16" s="1231"/>
      <c r="D16" s="1231"/>
      <c r="E16" s="1231"/>
      <c r="F16" s="1240"/>
      <c r="G16" s="1231"/>
      <c r="H16" s="1231"/>
      <c r="I16" s="1233">
        <v>10</v>
      </c>
      <c r="J16" s="1233">
        <v>10</v>
      </c>
      <c r="K16" s="1233">
        <v>10</v>
      </c>
      <c r="L16" s="1332">
        <v>20</v>
      </c>
      <c r="M16" s="1233">
        <v>20</v>
      </c>
      <c r="N16" s="1233"/>
      <c r="O16" s="1233"/>
      <c r="P16" s="1233"/>
      <c r="Q16" s="1233"/>
      <c r="R16" s="1233"/>
      <c r="S16" s="1233"/>
      <c r="T16" s="1235" t="s">
        <v>1227</v>
      </c>
      <c r="U16" s="1252">
        <v>187.4</v>
      </c>
      <c r="V16" s="1252">
        <v>209.2</v>
      </c>
      <c r="W16" s="1252">
        <f>V16-U16</f>
        <v>21.799999999999983</v>
      </c>
      <c r="X16" s="1253" t="s">
        <v>1240</v>
      </c>
      <c r="Y16" s="1254"/>
      <c r="Z16" s="1222">
        <f t="shared" si="0"/>
        <v>30</v>
      </c>
      <c r="AA16" s="1239"/>
    </row>
    <row r="17" spans="1:26" s="1266" customFormat="1" ht="26" x14ac:dyDescent="0.3">
      <c r="A17" s="1260" t="s">
        <v>64</v>
      </c>
      <c r="B17" s="1261"/>
      <c r="C17" s="1261"/>
      <c r="D17" s="1261"/>
      <c r="E17" s="1262"/>
      <c r="F17" s="1262"/>
      <c r="G17" s="1262"/>
      <c r="H17" s="1262"/>
      <c r="I17" s="1262"/>
      <c r="J17" s="1262"/>
      <c r="K17" s="1262"/>
      <c r="L17" s="1262"/>
      <c r="M17" s="1262"/>
      <c r="N17" s="1262"/>
      <c r="O17" s="1262"/>
      <c r="P17" s="1262"/>
      <c r="Q17" s="1262"/>
      <c r="R17" s="1262"/>
      <c r="S17" s="1263"/>
      <c r="T17" s="1264"/>
      <c r="U17" s="1265"/>
      <c r="V17" s="1265"/>
      <c r="W17" s="1265"/>
      <c r="X17" s="1265"/>
      <c r="Z17" s="1222">
        <v>2</v>
      </c>
    </row>
    <row r="18" spans="1:26" s="1271" customFormat="1" x14ac:dyDescent="0.3">
      <c r="A18" s="1230" t="s">
        <v>1241</v>
      </c>
      <c r="B18" s="1267"/>
      <c r="C18" s="1267"/>
      <c r="D18" s="1267"/>
      <c r="E18" s="1231"/>
      <c r="F18" s="1231"/>
      <c r="G18" s="1231"/>
      <c r="H18" s="1231"/>
      <c r="I18" s="1231"/>
      <c r="J18" s="1231"/>
      <c r="K18" s="1231"/>
      <c r="L18" s="1231"/>
      <c r="M18" s="1231">
        <v>7</v>
      </c>
      <c r="N18" s="1231">
        <v>7</v>
      </c>
      <c r="O18" s="1231">
        <v>5</v>
      </c>
      <c r="P18" s="1231">
        <v>5</v>
      </c>
      <c r="Q18" s="1231">
        <v>5</v>
      </c>
      <c r="R18" s="1231">
        <v>5</v>
      </c>
      <c r="S18" s="1268"/>
      <c r="T18" s="1235" t="s">
        <v>1242</v>
      </c>
      <c r="U18" s="1269">
        <v>5.2</v>
      </c>
      <c r="V18" s="1270">
        <v>40</v>
      </c>
      <c r="W18" s="1270">
        <f t="shared" ref="W18:W31" si="2">V18-U18</f>
        <v>34.799999999999997</v>
      </c>
      <c r="X18" s="1270" t="s">
        <v>1243</v>
      </c>
      <c r="Z18" s="1222">
        <f t="shared" si="0"/>
        <v>0</v>
      </c>
    </row>
    <row r="19" spans="1:26" s="1271" customFormat="1" ht="26" x14ac:dyDescent="0.3">
      <c r="A19" s="1230" t="s">
        <v>409</v>
      </c>
      <c r="B19" s="1272"/>
      <c r="C19" s="1231"/>
      <c r="D19" s="1231"/>
      <c r="E19" s="1231">
        <v>50</v>
      </c>
      <c r="F19" s="1231">
        <v>10</v>
      </c>
      <c r="G19" s="1273"/>
      <c r="H19" s="1231"/>
      <c r="I19" s="1231"/>
      <c r="J19" s="1231"/>
      <c r="K19" s="1231"/>
      <c r="L19" s="1231"/>
      <c r="M19" s="1231"/>
      <c r="N19" s="1231"/>
      <c r="O19" s="1231"/>
      <c r="P19" s="1231"/>
      <c r="Q19" s="1231"/>
      <c r="R19" s="1231"/>
      <c r="S19" s="1231"/>
      <c r="T19" s="1235" t="s">
        <v>289</v>
      </c>
      <c r="U19" s="1270">
        <v>40</v>
      </c>
      <c r="V19" s="1270">
        <v>85</v>
      </c>
      <c r="W19" s="1270">
        <f t="shared" si="2"/>
        <v>45</v>
      </c>
      <c r="X19" s="1231">
        <v>8788</v>
      </c>
      <c r="Y19" s="1274"/>
      <c r="Z19" s="1222">
        <f t="shared" si="0"/>
        <v>0</v>
      </c>
    </row>
    <row r="20" spans="1:26" s="1271" customFormat="1" x14ac:dyDescent="0.3">
      <c r="A20" s="1230" t="s">
        <v>291</v>
      </c>
      <c r="B20" s="1231"/>
      <c r="C20" s="1231"/>
      <c r="D20" s="1231"/>
      <c r="E20" s="1240"/>
      <c r="F20" s="1275"/>
      <c r="G20" s="1231"/>
      <c r="H20" s="1231"/>
      <c r="I20" s="1231">
        <v>5</v>
      </c>
      <c r="J20" s="1231">
        <v>10</v>
      </c>
      <c r="K20" s="1231">
        <v>20</v>
      </c>
      <c r="L20" s="1231"/>
      <c r="M20" s="1231"/>
      <c r="N20" s="1231"/>
      <c r="O20" s="1231"/>
      <c r="P20" s="1231"/>
      <c r="Q20" s="1231"/>
      <c r="R20" s="1231"/>
      <c r="S20" s="1231"/>
      <c r="T20" s="1235" t="s">
        <v>1244</v>
      </c>
      <c r="U20" s="1270">
        <v>92</v>
      </c>
      <c r="V20" s="1270">
        <v>102</v>
      </c>
      <c r="W20" s="1270">
        <f t="shared" si="2"/>
        <v>10</v>
      </c>
      <c r="X20" s="1231" t="s">
        <v>1245</v>
      </c>
      <c r="Y20" s="1276"/>
      <c r="Z20" s="1222">
        <f t="shared" si="0"/>
        <v>35</v>
      </c>
    </row>
    <row r="21" spans="1:26" s="1271" customFormat="1" x14ac:dyDescent="0.3">
      <c r="A21" s="1230" t="s">
        <v>1246</v>
      </c>
      <c r="B21" s="1272"/>
      <c r="C21" s="1272"/>
      <c r="D21" s="1272"/>
      <c r="E21" s="1240"/>
      <c r="F21" s="1275"/>
      <c r="G21" s="1231"/>
      <c r="H21" s="1231"/>
      <c r="I21" s="1231"/>
      <c r="J21" s="1231"/>
      <c r="K21" s="1231"/>
      <c r="L21" s="1231">
        <v>8</v>
      </c>
      <c r="M21" s="1231">
        <v>8</v>
      </c>
      <c r="N21" s="1231"/>
      <c r="O21" s="1231"/>
      <c r="P21" s="1231"/>
      <c r="Q21" s="1231"/>
      <c r="R21" s="1231"/>
      <c r="S21" s="1231"/>
      <c r="T21" s="1235" t="s">
        <v>1227</v>
      </c>
      <c r="U21" s="1270">
        <v>102</v>
      </c>
      <c r="V21" s="1270">
        <v>109</v>
      </c>
      <c r="W21" s="1270">
        <f t="shared" si="2"/>
        <v>7</v>
      </c>
      <c r="X21" s="1231">
        <v>7621</v>
      </c>
      <c r="Z21" s="1222">
        <f t="shared" si="0"/>
        <v>0</v>
      </c>
    </row>
    <row r="22" spans="1:26" s="1271" customFormat="1" x14ac:dyDescent="0.3">
      <c r="A22" s="1230" t="s">
        <v>296</v>
      </c>
      <c r="B22" s="1272"/>
      <c r="C22" s="1272"/>
      <c r="D22" s="1272"/>
      <c r="E22" s="1240"/>
      <c r="F22" s="1275"/>
      <c r="G22" s="1231"/>
      <c r="H22" s="1231"/>
      <c r="I22" s="1231">
        <v>10</v>
      </c>
      <c r="J22" s="1231"/>
      <c r="K22" s="1231"/>
      <c r="L22" s="1231"/>
      <c r="M22" s="1231"/>
      <c r="N22" s="1231"/>
      <c r="O22" s="1231"/>
      <c r="P22" s="1231"/>
      <c r="Q22" s="1231"/>
      <c r="R22" s="1231"/>
      <c r="S22" s="1231"/>
      <c r="T22" s="1235" t="s">
        <v>1227</v>
      </c>
      <c r="U22" s="1270">
        <v>109</v>
      </c>
      <c r="V22" s="1270">
        <v>112</v>
      </c>
      <c r="W22" s="1270">
        <f t="shared" si="2"/>
        <v>3</v>
      </c>
      <c r="X22" s="1231" t="s">
        <v>1247</v>
      </c>
      <c r="Z22" s="1222">
        <f t="shared" si="0"/>
        <v>10</v>
      </c>
    </row>
    <row r="23" spans="1:26" s="1271" customFormat="1" x14ac:dyDescent="0.3">
      <c r="A23" s="1230" t="s">
        <v>1248</v>
      </c>
      <c r="B23" s="1272"/>
      <c r="C23" s="1272"/>
      <c r="D23" s="1272"/>
      <c r="E23" s="1240"/>
      <c r="F23" s="1275"/>
      <c r="G23" s="1231"/>
      <c r="H23" s="1231"/>
      <c r="I23" s="1231"/>
      <c r="J23" s="1231"/>
      <c r="K23" s="1231"/>
      <c r="L23" s="1272"/>
      <c r="M23" s="1272"/>
      <c r="N23" s="1231">
        <v>14</v>
      </c>
      <c r="O23" s="1231">
        <v>14</v>
      </c>
      <c r="P23" s="1231">
        <v>14</v>
      </c>
      <c r="Q23" s="1231"/>
      <c r="R23" s="1231"/>
      <c r="S23" s="1231"/>
      <c r="T23" s="1235" t="s">
        <v>1227</v>
      </c>
      <c r="U23" s="1270">
        <v>112</v>
      </c>
      <c r="V23" s="1270">
        <v>126</v>
      </c>
      <c r="W23" s="1270">
        <f t="shared" si="2"/>
        <v>14</v>
      </c>
      <c r="X23" s="1231" t="s">
        <v>1249</v>
      </c>
      <c r="Z23" s="1222">
        <f t="shared" si="0"/>
        <v>0</v>
      </c>
    </row>
    <row r="24" spans="1:26" s="1271" customFormat="1" x14ac:dyDescent="0.3">
      <c r="A24" s="1230" t="s">
        <v>300</v>
      </c>
      <c r="B24" s="1272"/>
      <c r="C24" s="1272"/>
      <c r="D24" s="1272"/>
      <c r="E24" s="1240"/>
      <c r="F24" s="1277"/>
      <c r="G24" s="1231">
        <v>7</v>
      </c>
      <c r="H24" s="1231">
        <v>13</v>
      </c>
      <c r="I24" s="1231"/>
      <c r="J24" s="1231"/>
      <c r="K24" s="1231"/>
      <c r="L24" s="1231"/>
      <c r="M24" s="1231"/>
      <c r="N24" s="1231"/>
      <c r="O24" s="1231"/>
      <c r="P24" s="1231"/>
      <c r="Q24" s="1231"/>
      <c r="R24" s="1231"/>
      <c r="S24" s="1231"/>
      <c r="T24" s="1235" t="s">
        <v>1227</v>
      </c>
      <c r="U24" s="1270">
        <v>126</v>
      </c>
      <c r="V24" s="1270">
        <v>132</v>
      </c>
      <c r="W24" s="1270">
        <f t="shared" si="2"/>
        <v>6</v>
      </c>
      <c r="X24" s="1231" t="s">
        <v>1250</v>
      </c>
      <c r="Y24" s="1278"/>
      <c r="Z24" s="1222">
        <f t="shared" si="0"/>
        <v>20</v>
      </c>
    </row>
    <row r="25" spans="1:26" s="1271" customFormat="1" x14ac:dyDescent="0.3">
      <c r="A25" s="1230" t="s">
        <v>1251</v>
      </c>
      <c r="B25" s="1272"/>
      <c r="C25" s="1272"/>
      <c r="D25" s="1272"/>
      <c r="E25" s="1240"/>
      <c r="F25" s="1275"/>
      <c r="G25" s="1231"/>
      <c r="H25" s="1231"/>
      <c r="I25" s="1231"/>
      <c r="J25" s="1231">
        <v>10</v>
      </c>
      <c r="K25" s="1231">
        <v>10</v>
      </c>
      <c r="L25" s="1300">
        <v>22</v>
      </c>
      <c r="M25" s="1231"/>
      <c r="N25" s="1231"/>
      <c r="O25" s="1231"/>
      <c r="P25" s="1231"/>
      <c r="Q25" s="1231"/>
      <c r="R25" s="1231"/>
      <c r="S25" s="1231"/>
      <c r="T25" s="1235" t="s">
        <v>1227</v>
      </c>
      <c r="U25" s="1270">
        <v>147</v>
      </c>
      <c r="V25" s="1270">
        <v>160.80000000000001</v>
      </c>
      <c r="W25" s="1270">
        <f t="shared" si="2"/>
        <v>13.800000000000011</v>
      </c>
      <c r="X25" s="1231">
        <v>7527</v>
      </c>
      <c r="Z25" s="1222">
        <f t="shared" si="0"/>
        <v>20</v>
      </c>
    </row>
    <row r="26" spans="1:26" s="1271" customFormat="1" ht="39" x14ac:dyDescent="0.3">
      <c r="A26" s="1230" t="s">
        <v>585</v>
      </c>
      <c r="B26" s="1272"/>
      <c r="C26" s="1272"/>
      <c r="D26" s="1272"/>
      <c r="E26" s="1240"/>
      <c r="F26" s="1277"/>
      <c r="G26" s="1231"/>
      <c r="H26" s="1231">
        <v>10</v>
      </c>
      <c r="I26" s="1231">
        <v>12</v>
      </c>
      <c r="J26" s="1231"/>
      <c r="K26" s="1231"/>
      <c r="L26" s="1231"/>
      <c r="M26" s="1231"/>
      <c r="N26" s="1231"/>
      <c r="O26" s="1231"/>
      <c r="P26" s="1231"/>
      <c r="Q26" s="1231"/>
      <c r="R26" s="1231"/>
      <c r="S26" s="1231"/>
      <c r="T26" s="1235" t="s">
        <v>1252</v>
      </c>
      <c r="U26" s="1270">
        <v>170</v>
      </c>
      <c r="V26" s="1270">
        <v>174.4</v>
      </c>
      <c r="W26" s="1270">
        <f t="shared" si="2"/>
        <v>4.4000000000000057</v>
      </c>
      <c r="X26" s="1231">
        <v>7520</v>
      </c>
      <c r="Z26" s="1222">
        <f t="shared" si="0"/>
        <v>22</v>
      </c>
    </row>
    <row r="27" spans="1:26" s="1271" customFormat="1" x14ac:dyDescent="0.3">
      <c r="A27" s="1230" t="s">
        <v>1253</v>
      </c>
      <c r="B27" s="1272"/>
      <c r="C27" s="1272"/>
      <c r="D27" s="1272"/>
      <c r="E27" s="1240"/>
      <c r="F27" s="1277"/>
      <c r="G27" s="1272"/>
      <c r="H27" s="1272"/>
      <c r="I27" s="1279"/>
      <c r="J27" s="1280">
        <v>9</v>
      </c>
      <c r="K27" s="1231">
        <v>10</v>
      </c>
      <c r="L27" s="1231"/>
      <c r="M27" s="1231"/>
      <c r="N27" s="1231"/>
      <c r="O27" s="1231"/>
      <c r="P27" s="1231"/>
      <c r="Q27" s="1231"/>
      <c r="R27" s="1231"/>
      <c r="S27" s="1231"/>
      <c r="T27" s="1235" t="s">
        <v>1254</v>
      </c>
      <c r="U27" s="1269">
        <v>174.4</v>
      </c>
      <c r="V27" s="1270">
        <v>178</v>
      </c>
      <c r="W27" s="1270">
        <f t="shared" si="2"/>
        <v>3.5999999999999943</v>
      </c>
      <c r="X27" s="1231">
        <v>7520</v>
      </c>
      <c r="Z27" s="1222">
        <f t="shared" si="0"/>
        <v>19</v>
      </c>
    </row>
    <row r="28" spans="1:26" s="1271" customFormat="1" x14ac:dyDescent="0.3">
      <c r="A28" s="1230" t="s">
        <v>302</v>
      </c>
      <c r="B28" s="1272"/>
      <c r="C28" s="1272"/>
      <c r="D28" s="1272"/>
      <c r="E28" s="1231"/>
      <c r="F28" s="1281"/>
      <c r="G28" s="1231"/>
      <c r="H28" s="1272"/>
      <c r="I28" s="1231">
        <v>5</v>
      </c>
      <c r="J28" s="1231">
        <v>10</v>
      </c>
      <c r="K28" s="1231">
        <v>10</v>
      </c>
      <c r="L28" s="1231"/>
      <c r="M28" s="1231"/>
      <c r="N28" s="1231"/>
      <c r="O28" s="1231"/>
      <c r="P28" s="1231"/>
      <c r="Q28" s="1231"/>
      <c r="R28" s="1231"/>
      <c r="S28" s="1231"/>
      <c r="T28" s="1235" t="s">
        <v>1255</v>
      </c>
      <c r="U28" s="1270">
        <v>178</v>
      </c>
      <c r="V28" s="1270">
        <v>183</v>
      </c>
      <c r="W28" s="1270">
        <f t="shared" si="2"/>
        <v>5</v>
      </c>
      <c r="X28" s="1231" t="s">
        <v>1256</v>
      </c>
      <c r="Z28" s="1222">
        <f t="shared" si="0"/>
        <v>25</v>
      </c>
    </row>
    <row r="29" spans="1:26" s="1271" customFormat="1" ht="26" x14ac:dyDescent="0.3">
      <c r="A29" s="1282" t="s">
        <v>1257</v>
      </c>
      <c r="B29" s="1231"/>
      <c r="C29" s="1231"/>
      <c r="D29" s="1231"/>
      <c r="E29" s="1231">
        <v>4</v>
      </c>
      <c r="F29" s="1231"/>
      <c r="G29" s="1272"/>
      <c r="H29" s="1272"/>
      <c r="I29" s="1272"/>
      <c r="J29" s="1272"/>
      <c r="K29" s="1272"/>
      <c r="L29" s="1272"/>
      <c r="M29" s="1231"/>
      <c r="N29" s="1231"/>
      <c r="O29" s="1231"/>
      <c r="P29" s="1231"/>
      <c r="Q29" s="1231"/>
      <c r="R29" s="1231"/>
      <c r="S29" s="1231"/>
      <c r="T29" s="1235" t="s">
        <v>303</v>
      </c>
      <c r="U29" s="1270">
        <v>184.1</v>
      </c>
      <c r="V29" s="1270">
        <v>185.9</v>
      </c>
      <c r="W29" s="1270">
        <f t="shared" si="2"/>
        <v>1.8000000000000114</v>
      </c>
      <c r="X29" s="1231"/>
      <c r="Z29" s="1222">
        <f t="shared" si="0"/>
        <v>0</v>
      </c>
    </row>
    <row r="30" spans="1:26" s="1271" customFormat="1" x14ac:dyDescent="0.3">
      <c r="A30" s="1230" t="s">
        <v>304</v>
      </c>
      <c r="B30" s="1231"/>
      <c r="C30" s="1231"/>
      <c r="D30" s="1231"/>
      <c r="E30" s="1240"/>
      <c r="F30" s="1240"/>
      <c r="G30" s="1272"/>
      <c r="H30" s="1231">
        <v>10</v>
      </c>
      <c r="I30" s="1231">
        <v>5</v>
      </c>
      <c r="J30" s="1272"/>
      <c r="K30" s="1272"/>
      <c r="L30" s="1231"/>
      <c r="M30" s="1231"/>
      <c r="N30" s="1272"/>
      <c r="O30" s="1272"/>
      <c r="P30" s="1272"/>
      <c r="Q30" s="1272"/>
      <c r="R30" s="1272"/>
      <c r="S30" s="1231"/>
      <c r="T30" s="1235" t="s">
        <v>1258</v>
      </c>
      <c r="U30" s="1270">
        <v>191.2</v>
      </c>
      <c r="V30" s="1270">
        <v>194.5</v>
      </c>
      <c r="W30" s="1270">
        <f t="shared" si="2"/>
        <v>3.3000000000000114</v>
      </c>
      <c r="X30" s="1231" t="s">
        <v>1259</v>
      </c>
      <c r="Z30" s="1222">
        <f t="shared" si="0"/>
        <v>15</v>
      </c>
    </row>
    <row r="31" spans="1:26" s="1271" customFormat="1" x14ac:dyDescent="0.3">
      <c r="A31" s="1230" t="s">
        <v>306</v>
      </c>
      <c r="B31" s="1283"/>
      <c r="C31" s="1283"/>
      <c r="D31" s="1283"/>
      <c r="E31" s="1231"/>
      <c r="F31" s="1240"/>
      <c r="G31" s="1272"/>
      <c r="H31" s="1272"/>
      <c r="I31" s="1272"/>
      <c r="J31" s="1272"/>
      <c r="K31" s="1272"/>
      <c r="L31" s="1272"/>
      <c r="M31" s="1231">
        <v>9</v>
      </c>
      <c r="N31" s="1231">
        <v>9</v>
      </c>
      <c r="O31" s="1272"/>
      <c r="P31" s="1272"/>
      <c r="Q31" s="1272"/>
      <c r="R31" s="1272"/>
      <c r="S31" s="1272"/>
      <c r="T31" s="1235" t="s">
        <v>1260</v>
      </c>
      <c r="U31" s="1270">
        <v>194.2</v>
      </c>
      <c r="V31" s="1270">
        <v>201</v>
      </c>
      <c r="W31" s="1270">
        <f t="shared" si="2"/>
        <v>6.8000000000000114</v>
      </c>
      <c r="X31" s="1270" t="s">
        <v>1261</v>
      </c>
      <c r="Z31" s="1222">
        <f t="shared" si="0"/>
        <v>0</v>
      </c>
    </row>
    <row r="32" spans="1:26" s="1266" customFormat="1" x14ac:dyDescent="0.3">
      <c r="A32" s="1260" t="s">
        <v>76</v>
      </c>
      <c r="B32" s="1261"/>
      <c r="C32" s="1261"/>
      <c r="D32" s="1261"/>
      <c r="E32" s="1262"/>
      <c r="F32" s="1262"/>
      <c r="G32" s="1262"/>
      <c r="H32" s="1262"/>
      <c r="I32" s="1262"/>
      <c r="J32" s="1262"/>
      <c r="K32" s="1262"/>
      <c r="L32" s="1262"/>
      <c r="M32" s="1262"/>
      <c r="N32" s="1262"/>
      <c r="O32" s="1262"/>
      <c r="P32" s="1262"/>
      <c r="Q32" s="1262"/>
      <c r="R32" s="1262"/>
      <c r="S32" s="1263"/>
      <c r="T32" s="1264"/>
      <c r="U32" s="1265"/>
      <c r="V32" s="1265"/>
      <c r="W32" s="1265"/>
      <c r="X32" s="1265"/>
      <c r="Z32" s="1222">
        <v>3</v>
      </c>
    </row>
    <row r="33" spans="1:26" s="1216" customFormat="1" x14ac:dyDescent="0.3">
      <c r="A33" s="1284" t="s">
        <v>1262</v>
      </c>
      <c r="B33" s="1285"/>
      <c r="C33" s="1285"/>
      <c r="D33" s="1285"/>
      <c r="E33" s="1240"/>
      <c r="F33" s="1240"/>
      <c r="G33" s="1240"/>
      <c r="H33" s="1240"/>
      <c r="I33" s="1240">
        <v>10</v>
      </c>
      <c r="J33" s="1240">
        <v>15</v>
      </c>
      <c r="K33" s="1240">
        <v>15</v>
      </c>
      <c r="L33" s="1240"/>
      <c r="M33" s="1240"/>
      <c r="N33" s="1240"/>
      <c r="O33" s="1240"/>
      <c r="P33" s="1240"/>
      <c r="Q33" s="1240"/>
      <c r="R33" s="1240"/>
      <c r="S33" s="1240"/>
      <c r="T33" s="1286" t="s">
        <v>1263</v>
      </c>
      <c r="U33" s="1287">
        <v>138.69999999999999</v>
      </c>
      <c r="V33" s="1287">
        <v>152</v>
      </c>
      <c r="W33" s="1287">
        <v>13.6</v>
      </c>
      <c r="X33" s="1287" t="s">
        <v>1264</v>
      </c>
      <c r="Z33" s="1222">
        <f t="shared" si="0"/>
        <v>40</v>
      </c>
    </row>
    <row r="34" spans="1:26" s="1266" customFormat="1" x14ac:dyDescent="0.3">
      <c r="A34" s="1260" t="s">
        <v>77</v>
      </c>
      <c r="B34" s="1261"/>
      <c r="C34" s="1261"/>
      <c r="D34" s="1261"/>
      <c r="E34" s="1262"/>
      <c r="F34" s="1262"/>
      <c r="G34" s="1262"/>
      <c r="H34" s="1262"/>
      <c r="I34" s="1262"/>
      <c r="J34" s="1262"/>
      <c r="K34" s="1262"/>
      <c r="L34" s="1262"/>
      <c r="M34" s="1262"/>
      <c r="N34" s="1262"/>
      <c r="O34" s="1262"/>
      <c r="P34" s="1262"/>
      <c r="Q34" s="1262"/>
      <c r="R34" s="1262"/>
      <c r="S34" s="1263"/>
      <c r="T34" s="1264"/>
      <c r="U34" s="1265"/>
      <c r="V34" s="1265"/>
      <c r="W34" s="1265"/>
      <c r="X34" s="1262"/>
      <c r="Z34" s="1222">
        <v>4</v>
      </c>
    </row>
    <row r="35" spans="1:26" s="1266" customFormat="1" ht="26" x14ac:dyDescent="0.3">
      <c r="A35" s="1288" t="s">
        <v>1265</v>
      </c>
      <c r="B35" s="1285"/>
      <c r="C35" s="1285"/>
      <c r="D35" s="1285"/>
      <c r="E35" s="1240"/>
      <c r="F35" s="1289"/>
      <c r="G35" s="1290"/>
      <c r="H35" s="1290"/>
      <c r="I35" s="1290"/>
      <c r="J35" s="1290"/>
      <c r="K35" s="1290"/>
      <c r="L35" s="1290"/>
      <c r="M35" s="1290"/>
      <c r="N35" s="1290"/>
      <c r="O35" s="1290"/>
      <c r="P35" s="1290"/>
      <c r="Q35" s="1290"/>
      <c r="R35" s="1290">
        <v>10</v>
      </c>
      <c r="S35" s="1290">
        <v>5</v>
      </c>
      <c r="T35" s="1291" t="s">
        <v>1266</v>
      </c>
      <c r="U35" s="1287">
        <v>28</v>
      </c>
      <c r="V35" s="1287">
        <v>42</v>
      </c>
      <c r="W35" s="1270">
        <f t="shared" ref="W35:W42" si="3">V35-U35</f>
        <v>14</v>
      </c>
      <c r="X35" s="1240"/>
      <c r="Z35" s="1222">
        <f t="shared" si="0"/>
        <v>0</v>
      </c>
    </row>
    <row r="36" spans="1:26" x14ac:dyDescent="0.3">
      <c r="A36" s="1292" t="s">
        <v>1267</v>
      </c>
      <c r="G36" s="1295"/>
      <c r="H36" s="1295"/>
      <c r="I36" s="1295"/>
      <c r="J36" s="1295"/>
      <c r="K36" s="1295"/>
      <c r="L36" s="1295"/>
      <c r="M36" s="1295">
        <v>5</v>
      </c>
      <c r="N36" s="1295">
        <v>4</v>
      </c>
      <c r="O36" s="1295">
        <v>4</v>
      </c>
      <c r="P36" s="1295"/>
      <c r="Q36" s="1295"/>
      <c r="R36" s="1295"/>
      <c r="S36" s="1295"/>
      <c r="T36" s="1235" t="s">
        <v>1268</v>
      </c>
      <c r="U36" s="1296">
        <v>15</v>
      </c>
      <c r="V36" s="1296">
        <v>27</v>
      </c>
      <c r="W36" s="1270">
        <f t="shared" si="3"/>
        <v>12</v>
      </c>
      <c r="X36" s="1297" t="s">
        <v>1269</v>
      </c>
      <c r="Z36" s="1222">
        <f t="shared" si="0"/>
        <v>0</v>
      </c>
    </row>
    <row r="37" spans="1:26" s="1266" customFormat="1" x14ac:dyDescent="0.3">
      <c r="A37" s="1298" t="s">
        <v>1270</v>
      </c>
      <c r="B37" s="1299"/>
      <c r="C37" s="1299"/>
      <c r="D37" s="1299"/>
      <c r="E37" s="1300"/>
      <c r="F37" s="1301"/>
      <c r="G37" s="1290"/>
      <c r="H37" s="1290"/>
      <c r="I37" s="1290"/>
      <c r="J37" s="1290"/>
      <c r="K37" s="1290">
        <v>10</v>
      </c>
      <c r="L37" s="1375">
        <v>10</v>
      </c>
      <c r="M37" s="1290"/>
      <c r="N37" s="1290"/>
      <c r="O37" s="1290"/>
      <c r="P37" s="1290"/>
      <c r="Q37" s="1290"/>
      <c r="R37" s="1290"/>
      <c r="S37" s="1290"/>
      <c r="T37" s="1235" t="s">
        <v>1271</v>
      </c>
      <c r="U37" s="1287">
        <v>42</v>
      </c>
      <c r="V37" s="1287">
        <v>50</v>
      </c>
      <c r="W37" s="1270">
        <f t="shared" si="3"/>
        <v>8</v>
      </c>
      <c r="X37" s="1240">
        <v>8200</v>
      </c>
      <c r="Z37" s="1222">
        <f t="shared" si="0"/>
        <v>10</v>
      </c>
    </row>
    <row r="38" spans="1:26" s="1266" customFormat="1" x14ac:dyDescent="0.3">
      <c r="A38" s="1298" t="s">
        <v>1272</v>
      </c>
      <c r="B38" s="1285"/>
      <c r="C38" s="1285"/>
      <c r="D38" s="1285"/>
      <c r="E38" s="1240"/>
      <c r="F38" s="1289"/>
      <c r="G38" s="1290">
        <v>14</v>
      </c>
      <c r="H38" s="1290">
        <v>8</v>
      </c>
      <c r="I38" s="1290"/>
      <c r="J38" s="1290"/>
      <c r="K38" s="1290"/>
      <c r="L38" s="1290"/>
      <c r="M38" s="1290"/>
      <c r="N38" s="1290"/>
      <c r="O38" s="1290"/>
      <c r="P38" s="1290"/>
      <c r="Q38" s="1290"/>
      <c r="R38" s="1290"/>
      <c r="S38" s="1290"/>
      <c r="T38" s="1235" t="s">
        <v>1271</v>
      </c>
      <c r="U38" s="1287">
        <v>50</v>
      </c>
      <c r="V38" s="1287">
        <v>62</v>
      </c>
      <c r="W38" s="1270">
        <f t="shared" si="3"/>
        <v>12</v>
      </c>
      <c r="X38" s="1240" t="s">
        <v>1273</v>
      </c>
      <c r="Z38" s="1222">
        <f t="shared" si="0"/>
        <v>22</v>
      </c>
    </row>
    <row r="39" spans="1:26" s="1266" customFormat="1" x14ac:dyDescent="0.3">
      <c r="A39" s="1298" t="s">
        <v>1274</v>
      </c>
      <c r="B39" s="1299"/>
      <c r="C39" s="1299"/>
      <c r="D39" s="1299"/>
      <c r="E39" s="1300"/>
      <c r="F39" s="1301"/>
      <c r="G39" s="1290"/>
      <c r="H39" s="1290"/>
      <c r="I39" s="1290">
        <v>20</v>
      </c>
      <c r="J39" s="1290">
        <v>20</v>
      </c>
      <c r="K39" s="1290"/>
      <c r="L39" s="1290"/>
      <c r="M39" s="1290"/>
      <c r="N39" s="1290"/>
      <c r="O39" s="1290"/>
      <c r="P39" s="1290"/>
      <c r="Q39" s="1290"/>
      <c r="R39" s="1290"/>
      <c r="S39" s="1290"/>
      <c r="T39" s="1235" t="s">
        <v>1271</v>
      </c>
      <c r="U39" s="1287">
        <v>62</v>
      </c>
      <c r="V39" s="1287">
        <v>77</v>
      </c>
      <c r="W39" s="1270">
        <f>V39-U39</f>
        <v>15</v>
      </c>
      <c r="X39" s="1240" t="s">
        <v>1275</v>
      </c>
      <c r="Z39" s="1222">
        <f t="shared" si="0"/>
        <v>40</v>
      </c>
    </row>
    <row r="40" spans="1:26" s="1266" customFormat="1" x14ac:dyDescent="0.3">
      <c r="A40" s="1298" t="s">
        <v>1276</v>
      </c>
      <c r="B40" s="1302"/>
      <c r="C40" s="1302"/>
      <c r="D40" s="1302"/>
      <c r="E40" s="1302"/>
      <c r="F40" s="1303"/>
      <c r="G40" s="1290">
        <v>10</v>
      </c>
      <c r="H40" s="1290">
        <v>8</v>
      </c>
      <c r="I40" s="1290"/>
      <c r="J40" s="1290"/>
      <c r="K40" s="1290"/>
      <c r="L40" s="1290"/>
      <c r="M40" s="1290"/>
      <c r="N40" s="1290"/>
      <c r="O40" s="1290"/>
      <c r="P40" s="1290"/>
      <c r="Q40" s="1290"/>
      <c r="R40" s="1290"/>
      <c r="S40" s="1290"/>
      <c r="T40" s="1235" t="s">
        <v>1271</v>
      </c>
      <c r="U40" s="1287">
        <v>77</v>
      </c>
      <c r="V40" s="1287">
        <v>89</v>
      </c>
      <c r="W40" s="1270">
        <f t="shared" si="3"/>
        <v>12</v>
      </c>
      <c r="X40" s="1240" t="s">
        <v>1277</v>
      </c>
      <c r="Z40" s="1222">
        <f t="shared" si="0"/>
        <v>18</v>
      </c>
    </row>
    <row r="41" spans="1:26" s="1271" customFormat="1" x14ac:dyDescent="0.3">
      <c r="A41" s="1298" t="s">
        <v>1278</v>
      </c>
      <c r="B41" s="1231"/>
      <c r="C41" s="1231"/>
      <c r="D41" s="1231"/>
      <c r="E41" s="1231"/>
      <c r="F41" s="1304"/>
      <c r="G41" s="1290"/>
      <c r="H41" s="1290"/>
      <c r="I41" s="1305"/>
      <c r="J41" s="1305"/>
      <c r="K41" s="1305"/>
      <c r="L41" s="1306">
        <v>4</v>
      </c>
      <c r="M41" s="1306">
        <v>4</v>
      </c>
      <c r="N41" s="1305"/>
      <c r="O41" s="1305"/>
      <c r="P41" s="1305"/>
      <c r="Q41" s="1305"/>
      <c r="R41" s="1305"/>
      <c r="S41" s="1290"/>
      <c r="T41" s="1235" t="s">
        <v>1271</v>
      </c>
      <c r="U41" s="1270">
        <v>89</v>
      </c>
      <c r="V41" s="1270">
        <v>92</v>
      </c>
      <c r="W41" s="1270">
        <f t="shared" si="3"/>
        <v>3</v>
      </c>
      <c r="X41" s="1231">
        <v>8084</v>
      </c>
      <c r="Y41" s="1307"/>
      <c r="Z41" s="1222">
        <f t="shared" si="0"/>
        <v>0</v>
      </c>
    </row>
    <row r="42" spans="1:26" s="1271" customFormat="1" x14ac:dyDescent="0.3">
      <c r="A42" s="1298" t="s">
        <v>1279</v>
      </c>
      <c r="B42" s="1231"/>
      <c r="C42" s="1231"/>
      <c r="D42" s="1231"/>
      <c r="E42" s="1231"/>
      <c r="F42" s="1289"/>
      <c r="G42" s="1290">
        <v>15</v>
      </c>
      <c r="H42" s="1290">
        <v>10</v>
      </c>
      <c r="I42" s="1305"/>
      <c r="J42" s="1306"/>
      <c r="K42" s="1305"/>
      <c r="L42" s="1305"/>
      <c r="M42" s="1305"/>
      <c r="N42" s="1305"/>
      <c r="O42" s="1305"/>
      <c r="P42" s="1305"/>
      <c r="Q42" s="1305"/>
      <c r="R42" s="1305"/>
      <c r="S42" s="1290"/>
      <c r="T42" s="1235" t="s">
        <v>1271</v>
      </c>
      <c r="U42" s="1270">
        <v>92</v>
      </c>
      <c r="V42" s="1270">
        <v>109</v>
      </c>
      <c r="W42" s="1270">
        <f t="shared" si="3"/>
        <v>17</v>
      </c>
      <c r="X42" s="1231" t="s">
        <v>1280</v>
      </c>
      <c r="Y42" s="1307"/>
      <c r="Z42" s="1222">
        <f t="shared" si="0"/>
        <v>25</v>
      </c>
    </row>
    <row r="43" spans="1:26" s="1271" customFormat="1" x14ac:dyDescent="0.3">
      <c r="A43" s="1298" t="s">
        <v>1281</v>
      </c>
      <c r="B43" s="1231"/>
      <c r="C43" s="1231"/>
      <c r="D43" s="1231"/>
      <c r="E43" s="1240"/>
      <c r="F43" s="1289"/>
      <c r="G43" s="1306"/>
      <c r="H43" s="1290"/>
      <c r="I43" s="1290"/>
      <c r="J43" s="1290"/>
      <c r="K43" s="1290"/>
      <c r="L43" s="1290"/>
      <c r="M43" s="1290">
        <v>20</v>
      </c>
      <c r="N43" s="1290">
        <v>20</v>
      </c>
      <c r="O43" s="1290">
        <v>20</v>
      </c>
      <c r="P43" s="1290">
        <v>20</v>
      </c>
      <c r="Q43" s="1280">
        <v>20</v>
      </c>
      <c r="R43" s="1280">
        <v>20</v>
      </c>
      <c r="S43" s="1279"/>
      <c r="T43" s="1308" t="s">
        <v>1282</v>
      </c>
      <c r="U43" s="1287">
        <v>141</v>
      </c>
      <c r="V43" s="1287">
        <v>191</v>
      </c>
      <c r="W43" s="1287">
        <v>50</v>
      </c>
      <c r="X43" s="1240" t="s">
        <v>1283</v>
      </c>
      <c r="Y43" s="1309"/>
      <c r="Z43" s="1222">
        <f t="shared" si="0"/>
        <v>0</v>
      </c>
    </row>
    <row r="44" spans="1:26" s="1271" customFormat="1" x14ac:dyDescent="0.3">
      <c r="A44" s="1298" t="s">
        <v>1284</v>
      </c>
      <c r="B44" s="1231"/>
      <c r="C44" s="1231"/>
      <c r="D44" s="1231"/>
      <c r="E44" s="1240"/>
      <c r="F44" s="1289"/>
      <c r="G44" s="1306"/>
      <c r="H44" s="1290"/>
      <c r="I44" s="1290"/>
      <c r="J44" s="1290"/>
      <c r="K44" s="1290"/>
      <c r="L44" s="1290"/>
      <c r="M44" s="1290"/>
      <c r="N44" s="1290"/>
      <c r="O44" s="1290"/>
      <c r="P44" s="1290"/>
      <c r="Q44" s="1290"/>
      <c r="R44" s="1290"/>
      <c r="S44" s="1290">
        <v>3</v>
      </c>
      <c r="T44" s="1308" t="s">
        <v>1285</v>
      </c>
      <c r="U44" s="1287"/>
      <c r="V44" s="1287"/>
      <c r="W44" s="1287"/>
      <c r="X44" s="1240"/>
      <c r="Z44" s="1222">
        <f t="shared" si="0"/>
        <v>0</v>
      </c>
    </row>
    <row r="45" spans="1:26" s="1266" customFormat="1" x14ac:dyDescent="0.3">
      <c r="A45" s="1260" t="s">
        <v>87</v>
      </c>
      <c r="B45" s="1261"/>
      <c r="C45" s="1261"/>
      <c r="D45" s="1261"/>
      <c r="E45" s="1262"/>
      <c r="F45" s="1262"/>
      <c r="G45" s="1262"/>
      <c r="H45" s="1262"/>
      <c r="I45" s="1262"/>
      <c r="J45" s="1262"/>
      <c r="K45" s="1262"/>
      <c r="L45" s="1262"/>
      <c r="M45" s="1262"/>
      <c r="N45" s="1262"/>
      <c r="O45" s="1262"/>
      <c r="P45" s="1262"/>
      <c r="Q45" s="1262"/>
      <c r="R45" s="1262"/>
      <c r="S45" s="1263"/>
      <c r="T45" s="1264"/>
      <c r="U45" s="1265"/>
      <c r="V45" s="1265"/>
      <c r="W45" s="1265"/>
      <c r="X45" s="1265"/>
      <c r="Z45" s="1222">
        <v>5</v>
      </c>
    </row>
    <row r="46" spans="1:26" s="1266" customFormat="1" x14ac:dyDescent="0.3">
      <c r="A46" s="1230" t="s">
        <v>1286</v>
      </c>
      <c r="B46" s="1310"/>
      <c r="C46" s="1310"/>
      <c r="D46" s="1310"/>
      <c r="E46" s="1311"/>
      <c r="F46" s="1311"/>
      <c r="G46" s="1311">
        <v>1</v>
      </c>
      <c r="H46" s="1311"/>
      <c r="I46" s="1311"/>
      <c r="J46" s="1311"/>
      <c r="K46" s="1311"/>
      <c r="L46" s="1311"/>
      <c r="M46" s="1311"/>
      <c r="N46" s="1311"/>
      <c r="O46" s="1311"/>
      <c r="P46" s="1311"/>
      <c r="Q46" s="1311"/>
      <c r="R46" s="1311"/>
      <c r="S46" s="1311"/>
      <c r="T46" s="1235" t="s">
        <v>1286</v>
      </c>
      <c r="U46" s="1269">
        <v>171.5</v>
      </c>
      <c r="V46" s="1312"/>
      <c r="W46" s="1312"/>
      <c r="X46" s="1312"/>
      <c r="Y46" s="1313"/>
      <c r="Z46" s="1222">
        <f t="shared" si="0"/>
        <v>1</v>
      </c>
    </row>
    <row r="47" spans="1:26" s="1266" customFormat="1" x14ac:dyDescent="0.3">
      <c r="A47" s="1230" t="s">
        <v>1287</v>
      </c>
      <c r="B47" s="1267"/>
      <c r="C47" s="1267"/>
      <c r="D47" s="1267"/>
      <c r="E47" s="1231"/>
      <c r="F47" s="1231"/>
      <c r="G47" s="1231">
        <v>1</v>
      </c>
      <c r="H47" s="1231">
        <v>5</v>
      </c>
      <c r="I47" s="1231">
        <v>10</v>
      </c>
      <c r="J47" s="1231"/>
      <c r="K47" s="1231"/>
      <c r="L47" s="1231"/>
      <c r="M47" s="1231"/>
      <c r="N47" s="1231"/>
      <c r="O47" s="1231"/>
      <c r="P47" s="1231"/>
      <c r="Q47" s="1231"/>
      <c r="R47" s="1231"/>
      <c r="S47" s="1231"/>
      <c r="T47" s="1235" t="s">
        <v>1317</v>
      </c>
      <c r="U47" s="1270">
        <v>0</v>
      </c>
      <c r="V47" s="1270">
        <v>1.5</v>
      </c>
      <c r="W47" s="1270">
        <v>1.5</v>
      </c>
      <c r="X47" s="1270" t="s">
        <v>1288</v>
      </c>
      <c r="Y47" s="1254"/>
      <c r="Z47" s="1222">
        <f t="shared" si="0"/>
        <v>16</v>
      </c>
    </row>
    <row r="48" spans="1:26" s="1266" customFormat="1" x14ac:dyDescent="0.3">
      <c r="A48" s="1230" t="s">
        <v>1289</v>
      </c>
      <c r="B48" s="1267"/>
      <c r="C48" s="1267"/>
      <c r="D48" s="1267"/>
      <c r="E48" s="1231"/>
      <c r="F48" s="1231"/>
      <c r="G48" s="1231"/>
      <c r="H48" s="1231"/>
      <c r="I48" s="1231"/>
      <c r="J48" s="1231"/>
      <c r="K48" s="1231"/>
      <c r="L48" s="1231">
        <v>1</v>
      </c>
      <c r="M48" s="1231">
        <v>5</v>
      </c>
      <c r="N48" s="1231">
        <v>5</v>
      </c>
      <c r="O48" s="1231"/>
      <c r="P48" s="1231"/>
      <c r="Q48" s="1231"/>
      <c r="R48" s="1231"/>
      <c r="S48" s="1231"/>
      <c r="T48" s="1235" t="s">
        <v>1290</v>
      </c>
      <c r="U48" s="1270">
        <v>0.6</v>
      </c>
      <c r="V48" s="1270">
        <v>6</v>
      </c>
      <c r="W48" s="1270">
        <v>5.5</v>
      </c>
      <c r="X48" s="1231">
        <v>5700</v>
      </c>
      <c r="Z48" s="1222">
        <f t="shared" si="0"/>
        <v>0</v>
      </c>
    </row>
    <row r="49" spans="1:26" s="1266" customFormat="1" x14ac:dyDescent="0.3">
      <c r="A49" s="1260" t="s">
        <v>90</v>
      </c>
      <c r="B49" s="1261"/>
      <c r="C49" s="1261"/>
      <c r="D49" s="1261"/>
      <c r="E49" s="1262"/>
      <c r="F49" s="1262"/>
      <c r="G49" s="1262"/>
      <c r="H49" s="1262"/>
      <c r="I49" s="1262"/>
      <c r="J49" s="1262"/>
      <c r="K49" s="1262"/>
      <c r="L49" s="1262"/>
      <c r="M49" s="1262"/>
      <c r="N49" s="1262"/>
      <c r="O49" s="1262"/>
      <c r="P49" s="1262"/>
      <c r="Q49" s="1262"/>
      <c r="R49" s="1262"/>
      <c r="S49" s="1263"/>
      <c r="T49" s="1264"/>
      <c r="U49" s="1265"/>
      <c r="V49" s="1265"/>
      <c r="W49" s="1265"/>
      <c r="X49" s="1265"/>
      <c r="Z49" s="1222">
        <v>8</v>
      </c>
    </row>
    <row r="50" spans="1:26" s="1271" customFormat="1" x14ac:dyDescent="0.3">
      <c r="A50" s="1230" t="s">
        <v>1291</v>
      </c>
      <c r="B50" s="1231"/>
      <c r="C50" s="1231"/>
      <c r="D50" s="1231"/>
      <c r="G50" s="1231">
        <v>10</v>
      </c>
      <c r="H50" s="1233">
        <v>10</v>
      </c>
      <c r="I50" s="1231"/>
      <c r="J50" s="1231"/>
      <c r="K50" s="1231"/>
      <c r="L50" s="1231"/>
      <c r="M50" s="1231"/>
      <c r="N50" s="1231"/>
      <c r="O50" s="1231"/>
      <c r="P50" s="1231"/>
      <c r="Q50" s="1231"/>
      <c r="R50" s="1231"/>
      <c r="S50" s="1231"/>
      <c r="T50" s="1235" t="s">
        <v>1292</v>
      </c>
      <c r="U50" s="1270">
        <v>11.5</v>
      </c>
      <c r="V50" s="1270">
        <v>14</v>
      </c>
      <c r="W50" s="1270">
        <f>V50-U50</f>
        <v>2.5</v>
      </c>
      <c r="X50" s="1231" t="s">
        <v>1293</v>
      </c>
      <c r="Z50" s="1222">
        <f t="shared" si="0"/>
        <v>20</v>
      </c>
    </row>
    <row r="51" spans="1:26" s="1271" customFormat="1" x14ac:dyDescent="0.3">
      <c r="A51" s="1230" t="s">
        <v>1294</v>
      </c>
      <c r="B51" s="1231"/>
      <c r="C51" s="1231"/>
      <c r="D51" s="1231"/>
      <c r="G51" s="1231"/>
      <c r="H51" s="1233"/>
      <c r="I51" s="1231"/>
      <c r="J51" s="1231"/>
      <c r="K51" s="1231"/>
      <c r="L51" s="1231">
        <v>5</v>
      </c>
      <c r="M51" s="1231">
        <v>5</v>
      </c>
      <c r="N51" s="1231">
        <v>10</v>
      </c>
      <c r="O51" s="1231">
        <v>20</v>
      </c>
      <c r="P51" s="1231">
        <v>10</v>
      </c>
      <c r="Q51" s="1231"/>
      <c r="R51" s="1231"/>
      <c r="S51" s="1231"/>
      <c r="T51" s="1235" t="s">
        <v>1295</v>
      </c>
      <c r="U51" s="1270">
        <v>14</v>
      </c>
      <c r="V51" s="1270">
        <v>25</v>
      </c>
      <c r="W51" s="1270">
        <f t="shared" ref="W51:W56" si="4">V51-U51</f>
        <v>11</v>
      </c>
      <c r="X51" s="1231" t="s">
        <v>1296</v>
      </c>
      <c r="Z51" s="1222">
        <f t="shared" si="0"/>
        <v>0</v>
      </c>
    </row>
    <row r="52" spans="1:26" s="1271" customFormat="1" x14ac:dyDescent="0.3">
      <c r="A52" s="1314" t="s">
        <v>1297</v>
      </c>
      <c r="B52" s="1315"/>
      <c r="C52" s="1315"/>
      <c r="D52" s="1315"/>
      <c r="E52" s="1316"/>
      <c r="F52" s="1316"/>
      <c r="G52" s="1315"/>
      <c r="H52" s="1317"/>
      <c r="I52" s="1315"/>
      <c r="J52" s="1315"/>
      <c r="K52" s="1315"/>
      <c r="L52" s="1315"/>
      <c r="M52" s="1315"/>
      <c r="N52" s="1315"/>
      <c r="O52" s="1315"/>
      <c r="P52" s="1300"/>
      <c r="Q52" s="1315"/>
      <c r="R52" s="1315"/>
      <c r="S52" s="1315"/>
      <c r="T52" s="1318" t="s">
        <v>1298</v>
      </c>
      <c r="U52" s="1319"/>
      <c r="V52" s="1319"/>
      <c r="W52" s="1319"/>
      <c r="X52" s="1315"/>
      <c r="Z52" s="1222">
        <f t="shared" si="0"/>
        <v>0</v>
      </c>
    </row>
    <row r="53" spans="1:26" s="1271" customFormat="1" x14ac:dyDescent="0.3">
      <c r="A53" s="1230" t="s">
        <v>1299</v>
      </c>
      <c r="B53" s="1272"/>
      <c r="C53" s="1272"/>
      <c r="D53" s="1272"/>
      <c r="E53" s="1320"/>
      <c r="F53" s="1275"/>
      <c r="G53" s="1231"/>
      <c r="H53" s="1231"/>
      <c r="I53" s="1231"/>
      <c r="J53" s="1231"/>
      <c r="K53" s="1231"/>
      <c r="L53" s="1231"/>
      <c r="M53" s="1231"/>
      <c r="N53" s="1272"/>
      <c r="O53" s="1231"/>
      <c r="P53" s="1231"/>
      <c r="Q53" s="1231">
        <v>20</v>
      </c>
      <c r="R53" s="1231">
        <v>20</v>
      </c>
      <c r="S53" s="1231">
        <v>10</v>
      </c>
      <c r="T53" s="1235" t="s">
        <v>1227</v>
      </c>
      <c r="U53" s="1270">
        <v>29</v>
      </c>
      <c r="V53" s="1270">
        <v>46.8</v>
      </c>
      <c r="W53" s="1270">
        <f t="shared" si="4"/>
        <v>17.799999999999997</v>
      </c>
      <c r="X53" s="1231" t="s">
        <v>1300</v>
      </c>
      <c r="Z53" s="1222">
        <f t="shared" si="0"/>
        <v>0</v>
      </c>
    </row>
    <row r="54" spans="1:26" s="1266" customFormat="1" ht="26" x14ac:dyDescent="0.3">
      <c r="A54" s="1260" t="s">
        <v>92</v>
      </c>
      <c r="B54" s="1261"/>
      <c r="C54" s="1261"/>
      <c r="D54" s="1261"/>
      <c r="E54" s="1262"/>
      <c r="F54" s="1262"/>
      <c r="G54" s="1262"/>
      <c r="H54" s="1262"/>
      <c r="I54" s="1262"/>
      <c r="J54" s="1262"/>
      <c r="K54" s="1262"/>
      <c r="L54" s="1262"/>
      <c r="M54" s="1262"/>
      <c r="N54" s="1262"/>
      <c r="O54" s="1262"/>
      <c r="P54" s="1262"/>
      <c r="Q54" s="1262"/>
      <c r="R54" s="1262"/>
      <c r="S54" s="1263"/>
      <c r="T54" s="1264"/>
      <c r="U54" s="1321"/>
      <c r="V54" s="1321"/>
      <c r="W54" s="1321"/>
      <c r="X54" s="1321"/>
      <c r="Z54" s="1222">
        <v>9</v>
      </c>
    </row>
    <row r="55" spans="1:26" s="1324" customFormat="1" x14ac:dyDescent="0.3">
      <c r="A55" s="1242" t="s">
        <v>1301</v>
      </c>
      <c r="B55" s="1322"/>
      <c r="C55" s="1322"/>
      <c r="D55" s="1322"/>
      <c r="E55" s="1243"/>
      <c r="F55" s="1243"/>
      <c r="G55" s="1243"/>
      <c r="H55" s="1243"/>
      <c r="I55" s="1243"/>
      <c r="J55" s="1243"/>
      <c r="K55" s="1243"/>
      <c r="L55" s="1243"/>
      <c r="M55" s="1243"/>
      <c r="N55" s="1243">
        <v>10</v>
      </c>
      <c r="O55" s="1243">
        <v>10</v>
      </c>
      <c r="P55" s="1243"/>
      <c r="Q55" s="1243"/>
      <c r="R55" s="1243"/>
      <c r="S55" s="1243"/>
      <c r="T55" s="1247" t="s">
        <v>1271</v>
      </c>
      <c r="U55" s="1323">
        <v>0</v>
      </c>
      <c r="V55" s="1323">
        <v>7.5</v>
      </c>
      <c r="W55" s="1323">
        <f t="shared" si="4"/>
        <v>7.5</v>
      </c>
      <c r="X55" s="1243">
        <v>7101</v>
      </c>
      <c r="Z55" s="1222">
        <f t="shared" si="0"/>
        <v>0</v>
      </c>
    </row>
    <row r="56" spans="1:26" s="1324" customFormat="1" x14ac:dyDescent="0.3">
      <c r="A56" s="1242" t="s">
        <v>1302</v>
      </c>
      <c r="B56" s="1322"/>
      <c r="C56" s="1322"/>
      <c r="D56" s="1322"/>
      <c r="E56" s="1243"/>
      <c r="F56" s="1243"/>
      <c r="G56" s="1243"/>
      <c r="H56" s="1243"/>
      <c r="I56" s="1243"/>
      <c r="J56" s="1243"/>
      <c r="K56" s="1243"/>
      <c r="L56" s="1243"/>
      <c r="M56" s="1243"/>
      <c r="N56" s="1243"/>
      <c r="O56" s="1243"/>
      <c r="P56" s="1243">
        <v>10</v>
      </c>
      <c r="Q56" s="1243">
        <v>10</v>
      </c>
      <c r="R56" s="1243">
        <v>10</v>
      </c>
      <c r="S56" s="1243">
        <v>10</v>
      </c>
      <c r="T56" s="1247" t="s">
        <v>1303</v>
      </c>
      <c r="U56" s="1323">
        <v>7.5</v>
      </c>
      <c r="V56" s="1323">
        <v>40</v>
      </c>
      <c r="W56" s="1323">
        <f t="shared" si="4"/>
        <v>32.5</v>
      </c>
      <c r="X56" s="1243" t="s">
        <v>1304</v>
      </c>
      <c r="Z56" s="1222">
        <f t="shared" si="0"/>
        <v>0</v>
      </c>
    </row>
    <row r="57" spans="1:26" s="1266" customFormat="1" x14ac:dyDescent="0.3">
      <c r="A57" s="1284" t="s">
        <v>1305</v>
      </c>
      <c r="B57" s="1285"/>
      <c r="C57" s="1285"/>
      <c r="D57" s="1285"/>
      <c r="E57" s="1240"/>
      <c r="F57" s="1240"/>
      <c r="G57" s="1240"/>
      <c r="H57" s="1240"/>
      <c r="I57" s="1240"/>
      <c r="J57" s="1240"/>
      <c r="K57" s="1240"/>
      <c r="L57" s="1240"/>
      <c r="M57" s="1240"/>
      <c r="N57" s="1240"/>
      <c r="O57" s="1240"/>
      <c r="P57" s="1240">
        <v>10</v>
      </c>
      <c r="Q57" s="1240">
        <v>10</v>
      </c>
      <c r="R57" s="1240">
        <v>15</v>
      </c>
      <c r="S57" s="1240"/>
      <c r="T57" s="1286"/>
      <c r="U57" s="1287">
        <v>68</v>
      </c>
      <c r="V57" s="1287">
        <v>75</v>
      </c>
      <c r="W57" s="1287">
        <v>6</v>
      </c>
      <c r="X57" s="1287"/>
      <c r="Y57" s="1325"/>
      <c r="Z57" s="1222">
        <f t="shared" si="0"/>
        <v>0</v>
      </c>
    </row>
    <row r="58" spans="1:26" s="1266" customFormat="1" ht="26" x14ac:dyDescent="0.3">
      <c r="A58" s="1260" t="s">
        <v>93</v>
      </c>
      <c r="B58" s="1261"/>
      <c r="C58" s="1261"/>
      <c r="D58" s="1261"/>
      <c r="E58" s="1262"/>
      <c r="F58" s="1262"/>
      <c r="G58" s="1262"/>
      <c r="H58" s="1262"/>
      <c r="I58" s="1262"/>
      <c r="J58" s="1262"/>
      <c r="K58" s="1262"/>
      <c r="L58" s="1262"/>
      <c r="M58" s="1262"/>
      <c r="N58" s="1262"/>
      <c r="O58" s="1262"/>
      <c r="P58" s="1262"/>
      <c r="Q58" s="1262"/>
      <c r="R58" s="1262"/>
      <c r="S58" s="1263"/>
      <c r="T58" s="1264"/>
      <c r="U58" s="1263"/>
      <c r="V58" s="1263"/>
      <c r="W58" s="1263"/>
      <c r="X58" s="1321"/>
      <c r="Z58" s="1222">
        <v>10</v>
      </c>
    </row>
    <row r="59" spans="1:26" s="1266" customFormat="1" x14ac:dyDescent="0.3">
      <c r="A59" s="1284" t="s">
        <v>1306</v>
      </c>
      <c r="B59" s="1285"/>
      <c r="C59" s="1285"/>
      <c r="D59" s="1285"/>
      <c r="E59" s="1240"/>
      <c r="F59" s="1240"/>
      <c r="G59" s="1240"/>
      <c r="H59" s="1240"/>
      <c r="I59" s="1240"/>
      <c r="J59" s="1240"/>
      <c r="K59" s="1240"/>
      <c r="L59" s="1240"/>
      <c r="M59" s="1240"/>
      <c r="N59" s="1240"/>
      <c r="O59" s="1240"/>
      <c r="P59" s="1240"/>
      <c r="Q59" s="1240"/>
      <c r="R59" s="1240"/>
      <c r="S59" s="1240"/>
      <c r="T59" s="1286"/>
      <c r="U59" s="1240"/>
      <c r="V59" s="1240"/>
      <c r="W59" s="1240"/>
      <c r="X59" s="1287"/>
      <c r="Z59" s="1222">
        <f t="shared" si="0"/>
        <v>0</v>
      </c>
    </row>
    <row r="60" spans="1:26" s="1271" customFormat="1" x14ac:dyDescent="0.3">
      <c r="A60" s="1260" t="s">
        <v>94</v>
      </c>
      <c r="B60" s="1261"/>
      <c r="C60" s="1261"/>
      <c r="D60" s="1261"/>
      <c r="E60" s="1262"/>
      <c r="F60" s="1262"/>
      <c r="G60" s="1262"/>
      <c r="H60" s="1262"/>
      <c r="I60" s="1262"/>
      <c r="J60" s="1262"/>
      <c r="K60" s="1262"/>
      <c r="L60" s="1262"/>
      <c r="M60" s="1262"/>
      <c r="N60" s="1262"/>
      <c r="O60" s="1262"/>
      <c r="P60" s="1262"/>
      <c r="Q60" s="1262"/>
      <c r="R60" s="1262"/>
      <c r="S60" s="1263"/>
      <c r="T60" s="1264"/>
      <c r="U60" s="1263"/>
      <c r="V60" s="1263"/>
      <c r="W60" s="1263"/>
      <c r="X60" s="1265"/>
      <c r="Z60" s="1222">
        <v>11</v>
      </c>
    </row>
    <row r="61" spans="1:26" s="1271" customFormat="1" x14ac:dyDescent="0.3">
      <c r="A61" s="1326" t="s">
        <v>1307</v>
      </c>
      <c r="B61" s="1327"/>
      <c r="C61" s="1327"/>
      <c r="D61" s="1327"/>
      <c r="E61" s="1327"/>
      <c r="F61" s="1328"/>
      <c r="G61" s="1231">
        <v>10</v>
      </c>
      <c r="H61" s="1231">
        <v>5</v>
      </c>
      <c r="I61" s="1233">
        <v>5</v>
      </c>
      <c r="J61" s="1233"/>
      <c r="K61" s="1233"/>
      <c r="L61" s="1233"/>
      <c r="M61" s="1233"/>
      <c r="N61" s="1233"/>
      <c r="O61" s="1233"/>
      <c r="P61" s="1233"/>
      <c r="Q61" s="1233"/>
      <c r="R61" s="1233"/>
      <c r="S61" s="1231"/>
      <c r="T61" s="1235" t="s">
        <v>1255</v>
      </c>
      <c r="U61" s="1270">
        <v>34</v>
      </c>
      <c r="V61" s="1270">
        <v>38</v>
      </c>
      <c r="W61" s="1270">
        <f>V61-U61</f>
        <v>4</v>
      </c>
      <c r="X61" s="1231">
        <v>10060</v>
      </c>
      <c r="Z61" s="1222">
        <f t="shared" si="0"/>
        <v>20</v>
      </c>
    </row>
    <row r="62" spans="1:26" s="1271" customFormat="1" x14ac:dyDescent="0.3">
      <c r="A62" s="1329" t="s">
        <v>1308</v>
      </c>
      <c r="B62" s="1330"/>
      <c r="C62" s="1331"/>
      <c r="D62" s="1331"/>
      <c r="E62" s="1331"/>
      <c r="F62" s="1331"/>
      <c r="G62" s="1315"/>
      <c r="H62" s="1315"/>
      <c r="I62" s="1317"/>
      <c r="J62" s="1317"/>
      <c r="K62" s="1317"/>
      <c r="L62" s="1317"/>
      <c r="M62" s="1317"/>
      <c r="N62" s="1317"/>
      <c r="O62" s="1317"/>
      <c r="P62" s="1317"/>
      <c r="Q62" s="1332"/>
      <c r="R62" s="1317"/>
      <c r="S62" s="1315"/>
      <c r="T62" s="1318" t="s">
        <v>1298</v>
      </c>
      <c r="U62" s="1333"/>
      <c r="V62" s="1333"/>
      <c r="W62" s="1333"/>
      <c r="X62" s="1331"/>
      <c r="Z62" s="1222">
        <f t="shared" si="0"/>
        <v>0</v>
      </c>
    </row>
    <row r="63" spans="1:26" s="1278" customFormat="1" x14ac:dyDescent="0.3">
      <c r="A63" s="1334" t="s">
        <v>1309</v>
      </c>
      <c r="B63" s="1335"/>
      <c r="C63" s="1336"/>
      <c r="D63" s="1337"/>
      <c r="E63" s="1336"/>
      <c r="F63" s="1336"/>
      <c r="G63" s="1338"/>
      <c r="H63" s="1338"/>
      <c r="I63" s="1339"/>
      <c r="J63" s="1339"/>
      <c r="K63" s="1339"/>
      <c r="L63" s="1339"/>
      <c r="M63" s="1339"/>
      <c r="N63" s="1339"/>
      <c r="O63" s="1339"/>
      <c r="P63" s="1339"/>
      <c r="Q63" s="1339"/>
      <c r="R63" s="1339"/>
      <c r="S63" s="1338"/>
      <c r="T63" s="1340"/>
      <c r="U63" s="1341"/>
      <c r="V63" s="1341"/>
      <c r="W63" s="1341"/>
      <c r="X63" s="1336"/>
      <c r="Z63" s="1222">
        <v>15</v>
      </c>
    </row>
    <row r="64" spans="1:26" s="1278" customFormat="1" x14ac:dyDescent="0.3">
      <c r="A64" s="1230" t="s">
        <v>1310</v>
      </c>
      <c r="B64" s="1231"/>
      <c r="C64" s="1231"/>
      <c r="D64" s="1231"/>
      <c r="E64" s="1231"/>
      <c r="F64" s="1240"/>
      <c r="G64" s="1231"/>
      <c r="H64" s="1231"/>
      <c r="I64" s="1233"/>
      <c r="J64" s="1233"/>
      <c r="K64" s="1233"/>
      <c r="L64" s="1233"/>
      <c r="M64" s="1233"/>
      <c r="N64" s="1233">
        <v>9</v>
      </c>
      <c r="O64" s="1233">
        <v>9</v>
      </c>
      <c r="P64" s="1233"/>
      <c r="Q64" s="1233"/>
      <c r="R64" s="1233"/>
      <c r="S64" s="1231"/>
      <c r="T64" s="1286" t="s">
        <v>1311</v>
      </c>
      <c r="U64" s="1287">
        <v>5</v>
      </c>
      <c r="V64" s="1287">
        <v>9</v>
      </c>
      <c r="W64" s="1270">
        <f>V64-U64</f>
        <v>4</v>
      </c>
      <c r="X64" s="1240" t="s">
        <v>1312</v>
      </c>
      <c r="Z64" s="1222">
        <f t="shared" si="0"/>
        <v>0</v>
      </c>
    </row>
    <row r="65" spans="1:260" s="1271" customFormat="1" ht="13.5" thickBot="1" x14ac:dyDescent="0.35">
      <c r="A65" s="1326" t="s">
        <v>1313</v>
      </c>
      <c r="B65" s="1327"/>
      <c r="C65" s="1327"/>
      <c r="D65" s="1327"/>
      <c r="E65" s="1327"/>
      <c r="F65" s="1328"/>
      <c r="G65" s="1327"/>
      <c r="H65" s="1327"/>
      <c r="I65" s="1342"/>
      <c r="J65" s="1342"/>
      <c r="K65" s="1342"/>
      <c r="L65" s="1342"/>
      <c r="M65" s="1342"/>
      <c r="N65" s="1342"/>
      <c r="O65" s="1342"/>
      <c r="P65" s="1342">
        <v>20</v>
      </c>
      <c r="Q65" s="1342">
        <v>20</v>
      </c>
      <c r="R65" s="1342">
        <v>20</v>
      </c>
      <c r="S65" s="1327">
        <v>20</v>
      </c>
      <c r="T65" s="1343" t="s">
        <v>1314</v>
      </c>
      <c r="U65" s="1344">
        <v>9</v>
      </c>
      <c r="V65" s="1344">
        <v>45</v>
      </c>
      <c r="W65" s="1344">
        <f>V65-U65</f>
        <v>36</v>
      </c>
      <c r="X65" s="1327" t="s">
        <v>1315</v>
      </c>
      <c r="Z65" s="1222">
        <f t="shared" si="0"/>
        <v>0</v>
      </c>
    </row>
    <row r="66" spans="1:260" s="1271" customFormat="1" ht="13.5" thickBot="1" x14ac:dyDescent="0.35">
      <c r="A66" s="1345" t="s">
        <v>330</v>
      </c>
      <c r="B66" s="1346"/>
      <c r="C66" s="1346">
        <f>SUM(C7:C63)</f>
        <v>0</v>
      </c>
      <c r="D66" s="1346"/>
      <c r="E66" s="1346">
        <f>SUM(E7:E63)</f>
        <v>54</v>
      </c>
      <c r="F66" s="1346">
        <f>SUM(F7:F63)</f>
        <v>10</v>
      </c>
      <c r="G66" s="1346">
        <f>SUM(G7:G65)</f>
        <v>99</v>
      </c>
      <c r="H66" s="1346">
        <f t="shared" ref="H66:S66" si="5">SUM(H7:H65)</f>
        <v>100</v>
      </c>
      <c r="I66" s="1346">
        <f t="shared" si="5"/>
        <v>102</v>
      </c>
      <c r="J66" s="1346">
        <f t="shared" si="5"/>
        <v>100</v>
      </c>
      <c r="K66" s="1346">
        <f t="shared" si="5"/>
        <v>100</v>
      </c>
      <c r="L66" s="1346">
        <f t="shared" si="5"/>
        <v>100</v>
      </c>
      <c r="M66" s="1346">
        <f t="shared" si="5"/>
        <v>100</v>
      </c>
      <c r="N66" s="1346">
        <f t="shared" si="5"/>
        <v>101</v>
      </c>
      <c r="O66" s="1346">
        <f t="shared" si="5"/>
        <v>100</v>
      </c>
      <c r="P66" s="1346">
        <f t="shared" si="5"/>
        <v>96</v>
      </c>
      <c r="Q66" s="1346">
        <f t="shared" si="5"/>
        <v>92</v>
      </c>
      <c r="R66" s="1346">
        <f t="shared" si="5"/>
        <v>100</v>
      </c>
      <c r="S66" s="1346">
        <f t="shared" si="5"/>
        <v>68</v>
      </c>
      <c r="T66" s="1347"/>
      <c r="U66" s="1348"/>
      <c r="V66" s="1348"/>
      <c r="W66" s="1348"/>
      <c r="X66" s="1349"/>
      <c r="Z66" s="1222">
        <f t="shared" si="0"/>
        <v>501</v>
      </c>
    </row>
    <row r="67" spans="1:260" x14ac:dyDescent="0.3">
      <c r="A67" s="1350"/>
      <c r="B67" s="1351"/>
      <c r="C67" s="1351"/>
      <c r="D67" s="1351"/>
      <c r="E67" s="1351"/>
      <c r="F67" s="1352"/>
      <c r="G67" s="1351"/>
      <c r="H67" s="1351"/>
      <c r="I67" s="1351"/>
      <c r="J67" s="1351"/>
      <c r="K67" s="1351"/>
      <c r="L67" s="1351"/>
      <c r="M67" s="1351"/>
      <c r="N67" s="1351"/>
      <c r="O67" s="1351"/>
      <c r="P67" s="1351"/>
      <c r="Q67" s="1351"/>
      <c r="R67" s="1351"/>
      <c r="S67" s="1351"/>
      <c r="T67" s="1353"/>
    </row>
    <row r="68" spans="1:260" x14ac:dyDescent="0.3">
      <c r="A68" s="1354"/>
      <c r="B68" s="1355"/>
      <c r="C68" s="1355"/>
      <c r="D68" s="1355"/>
      <c r="E68" s="1355"/>
      <c r="F68" s="1356"/>
      <c r="G68" s="1355"/>
      <c r="H68" s="1355"/>
      <c r="I68" s="1355"/>
      <c r="J68" s="1355"/>
      <c r="K68" s="1355"/>
      <c r="L68" s="1355"/>
      <c r="M68" s="1355"/>
      <c r="N68" s="1355"/>
      <c r="O68" s="1355"/>
      <c r="P68" s="1355"/>
      <c r="Q68" s="1355"/>
      <c r="R68" s="1355"/>
      <c r="S68" s="1355"/>
      <c r="T68" s="1357"/>
    </row>
    <row r="69" spans="1:260" x14ac:dyDescent="0.3">
      <c r="A69" s="1350"/>
      <c r="B69" s="1351"/>
      <c r="C69" s="1351"/>
      <c r="D69" s="1351"/>
      <c r="E69" s="1351"/>
      <c r="F69" s="1352"/>
      <c r="G69" s="1351"/>
      <c r="H69" s="1351"/>
      <c r="I69" s="1351"/>
      <c r="J69" s="1351"/>
      <c r="K69" s="1351"/>
      <c r="L69" s="1351"/>
      <c r="M69" s="1351"/>
      <c r="N69" s="1351"/>
      <c r="O69" s="1351"/>
      <c r="P69" s="1351"/>
      <c r="Q69" s="1351"/>
      <c r="R69" s="1351"/>
      <c r="S69" s="1351"/>
      <c r="T69" s="1353"/>
    </row>
    <row r="70" spans="1:260" s="1266" customFormat="1" x14ac:dyDescent="0.3">
      <c r="A70" s="1350"/>
      <c r="B70" s="1351"/>
      <c r="C70" s="1351"/>
      <c r="D70" s="1351"/>
      <c r="E70" s="1351"/>
      <c r="F70" s="1352"/>
      <c r="G70" s="1351"/>
      <c r="H70" s="1351"/>
      <c r="I70" s="1351"/>
      <c r="J70" s="1351"/>
      <c r="K70" s="1351"/>
      <c r="L70" s="1351"/>
      <c r="M70" s="1351"/>
      <c r="N70" s="1351"/>
      <c r="O70" s="1351"/>
      <c r="P70" s="1351"/>
      <c r="Q70" s="1351"/>
      <c r="R70" s="1351"/>
      <c r="S70" s="1351"/>
      <c r="T70" s="1353"/>
      <c r="Y70" s="1215"/>
      <c r="Z70" s="1215"/>
      <c r="AA70" s="1215"/>
      <c r="AB70" s="1215"/>
      <c r="AC70" s="1215"/>
      <c r="AD70" s="1215"/>
      <c r="AE70" s="1215"/>
      <c r="AF70" s="1215"/>
      <c r="AG70" s="1215"/>
      <c r="AH70" s="1215"/>
      <c r="AI70" s="1215"/>
      <c r="AJ70" s="1215"/>
      <c r="AK70" s="1215"/>
      <c r="AL70" s="1215"/>
      <c r="AM70" s="1215"/>
      <c r="AN70" s="1215"/>
      <c r="AO70" s="1215"/>
      <c r="AP70" s="1215"/>
      <c r="AQ70" s="1215"/>
      <c r="AR70" s="1215"/>
      <c r="AS70" s="1215"/>
      <c r="AT70" s="1215"/>
      <c r="AU70" s="1215"/>
      <c r="AV70" s="1215"/>
      <c r="AW70" s="1215"/>
      <c r="AX70" s="1215"/>
      <c r="AY70" s="1215"/>
      <c r="AZ70" s="1215"/>
      <c r="BA70" s="1215"/>
      <c r="BB70" s="1215"/>
      <c r="BC70" s="1215"/>
      <c r="BD70" s="1215"/>
      <c r="BE70" s="1215"/>
      <c r="BF70" s="1215"/>
      <c r="BG70" s="1215"/>
      <c r="BH70" s="1215"/>
      <c r="BI70" s="1215"/>
      <c r="BJ70" s="1215"/>
      <c r="BK70" s="1215"/>
      <c r="BL70" s="1215"/>
      <c r="BM70" s="1215"/>
      <c r="BN70" s="1215"/>
      <c r="BO70" s="1215"/>
      <c r="BP70" s="1215"/>
      <c r="BQ70" s="1215"/>
      <c r="BR70" s="1215"/>
      <c r="BS70" s="1215"/>
      <c r="BT70" s="1215"/>
      <c r="BU70" s="1215"/>
      <c r="BV70" s="1215"/>
      <c r="BW70" s="1215"/>
      <c r="BX70" s="1215"/>
      <c r="BY70" s="1215"/>
      <c r="BZ70" s="1215"/>
      <c r="CA70" s="1215"/>
      <c r="CB70" s="1215"/>
      <c r="CC70" s="1215"/>
      <c r="CD70" s="1215"/>
      <c r="CE70" s="1215"/>
      <c r="CF70" s="1215"/>
      <c r="CG70" s="1215"/>
      <c r="CH70" s="1215"/>
      <c r="CI70" s="1215"/>
      <c r="CJ70" s="1215"/>
      <c r="CK70" s="1215"/>
      <c r="CL70" s="1215"/>
      <c r="CM70" s="1215"/>
      <c r="CN70" s="1215"/>
      <c r="CO70" s="1215"/>
      <c r="CP70" s="1215"/>
      <c r="CQ70" s="1215"/>
      <c r="CR70" s="1215"/>
      <c r="CS70" s="1215"/>
      <c r="CT70" s="1215"/>
      <c r="CU70" s="1215"/>
      <c r="CV70" s="1215"/>
      <c r="CW70" s="1215"/>
      <c r="CX70" s="1215"/>
      <c r="CY70" s="1215"/>
      <c r="CZ70" s="1215"/>
      <c r="DA70" s="1215"/>
      <c r="DB70" s="1215"/>
      <c r="DC70" s="1215"/>
      <c r="DD70" s="1215"/>
      <c r="DE70" s="1215"/>
      <c r="DF70" s="1215"/>
      <c r="DG70" s="1215"/>
      <c r="DH70" s="1215"/>
      <c r="DI70" s="1215"/>
      <c r="DJ70" s="1215"/>
      <c r="DK70" s="1215"/>
      <c r="DL70" s="1215"/>
      <c r="DM70" s="1215"/>
      <c r="DN70" s="1215"/>
      <c r="DO70" s="1215"/>
      <c r="DP70" s="1215"/>
      <c r="DQ70" s="1215"/>
      <c r="DR70" s="1215"/>
      <c r="DS70" s="1215"/>
      <c r="DT70" s="1215"/>
      <c r="DU70" s="1215"/>
      <c r="DV70" s="1215"/>
      <c r="DW70" s="1215"/>
      <c r="DX70" s="1215"/>
      <c r="DY70" s="1215"/>
      <c r="DZ70" s="1215"/>
      <c r="EA70" s="1215"/>
      <c r="EB70" s="1215"/>
      <c r="EC70" s="1215"/>
      <c r="ED70" s="1215"/>
      <c r="EE70" s="1215"/>
      <c r="EF70" s="1215"/>
      <c r="EG70" s="1215"/>
      <c r="EH70" s="1215"/>
      <c r="EI70" s="1215"/>
      <c r="EJ70" s="1215"/>
      <c r="EK70" s="1215"/>
      <c r="EL70" s="1215"/>
      <c r="EM70" s="1215"/>
      <c r="EN70" s="1215"/>
      <c r="EO70" s="1215"/>
      <c r="EP70" s="1215"/>
      <c r="EQ70" s="1215"/>
      <c r="ER70" s="1215"/>
      <c r="ES70" s="1215"/>
      <c r="ET70" s="1215"/>
      <c r="EU70" s="1215"/>
      <c r="EV70" s="1215"/>
      <c r="EW70" s="1215"/>
      <c r="EX70" s="1215"/>
      <c r="EY70" s="1215"/>
      <c r="EZ70" s="1215"/>
      <c r="FA70" s="1215"/>
      <c r="FB70" s="1215"/>
      <c r="FC70" s="1215"/>
      <c r="FD70" s="1215"/>
      <c r="FE70" s="1215"/>
      <c r="FF70" s="1215"/>
      <c r="FG70" s="1215"/>
      <c r="FH70" s="1215"/>
      <c r="FI70" s="1215"/>
      <c r="FJ70" s="1215"/>
      <c r="FK70" s="1215"/>
      <c r="FL70" s="1215"/>
      <c r="FM70" s="1215"/>
      <c r="FN70" s="1215"/>
      <c r="FO70" s="1215"/>
      <c r="FP70" s="1215"/>
      <c r="FQ70" s="1215"/>
      <c r="FR70" s="1215"/>
      <c r="FS70" s="1215"/>
      <c r="FT70" s="1215"/>
      <c r="FU70" s="1215"/>
      <c r="FV70" s="1215"/>
      <c r="FW70" s="1215"/>
      <c r="FX70" s="1215"/>
      <c r="FY70" s="1215"/>
      <c r="FZ70" s="1215"/>
      <c r="GA70" s="1215"/>
      <c r="GB70" s="1215"/>
      <c r="GC70" s="1215"/>
      <c r="GD70" s="1215"/>
      <c r="GE70" s="1215"/>
      <c r="GF70" s="1215"/>
      <c r="GG70" s="1215"/>
      <c r="GH70" s="1215"/>
      <c r="GI70" s="1215"/>
      <c r="GJ70" s="1215"/>
      <c r="GK70" s="1215"/>
      <c r="GL70" s="1215"/>
      <c r="GM70" s="1215"/>
      <c r="GN70" s="1215"/>
      <c r="GO70" s="1215"/>
      <c r="GP70" s="1215"/>
      <c r="GQ70" s="1215"/>
      <c r="GR70" s="1215"/>
      <c r="GS70" s="1215"/>
      <c r="GT70" s="1215"/>
      <c r="GU70" s="1215"/>
      <c r="GV70" s="1215"/>
      <c r="GW70" s="1215"/>
      <c r="GX70" s="1215"/>
      <c r="GY70" s="1215"/>
      <c r="GZ70" s="1215"/>
      <c r="HA70" s="1215"/>
      <c r="HB70" s="1215"/>
      <c r="HC70" s="1215"/>
      <c r="HD70" s="1215"/>
      <c r="HE70" s="1215"/>
      <c r="HF70" s="1215"/>
      <c r="HG70" s="1215"/>
      <c r="HH70" s="1215"/>
      <c r="HI70" s="1215"/>
      <c r="HJ70" s="1215"/>
      <c r="HK70" s="1215"/>
      <c r="HL70" s="1215"/>
      <c r="HM70" s="1215"/>
      <c r="HN70" s="1215"/>
      <c r="HO70" s="1215"/>
      <c r="HP70" s="1215"/>
      <c r="HQ70" s="1215"/>
      <c r="HR70" s="1215"/>
      <c r="HS70" s="1215"/>
      <c r="HT70" s="1215"/>
      <c r="HU70" s="1215"/>
      <c r="HV70" s="1215"/>
      <c r="HW70" s="1215"/>
      <c r="HX70" s="1215"/>
      <c r="HY70" s="1215"/>
      <c r="HZ70" s="1215"/>
      <c r="IA70" s="1215"/>
      <c r="IB70" s="1215"/>
      <c r="IC70" s="1215"/>
      <c r="ID70" s="1215"/>
      <c r="IE70" s="1215"/>
      <c r="IF70" s="1215"/>
      <c r="IG70" s="1215"/>
      <c r="IH70" s="1215"/>
      <c r="II70" s="1215"/>
      <c r="IJ70" s="1215"/>
      <c r="IK70" s="1215"/>
      <c r="IL70" s="1215"/>
      <c r="IM70" s="1215"/>
      <c r="IN70" s="1215"/>
      <c r="IO70" s="1215"/>
      <c r="IP70" s="1215"/>
      <c r="IQ70" s="1215"/>
      <c r="IR70" s="1215"/>
      <c r="IS70" s="1215"/>
      <c r="IT70" s="1215"/>
      <c r="IU70" s="1215"/>
      <c r="IV70" s="1215"/>
      <c r="IW70" s="1215"/>
      <c r="IX70" s="1215"/>
      <c r="IY70" s="1215"/>
      <c r="IZ70" s="1215"/>
    </row>
    <row r="71" spans="1:260" s="1266" customFormat="1" x14ac:dyDescent="0.3">
      <c r="A71" s="1350"/>
      <c r="B71" s="1351"/>
      <c r="C71" s="1351"/>
      <c r="D71" s="1351"/>
      <c r="E71" s="1351"/>
      <c r="F71" s="1352"/>
      <c r="G71" s="1351"/>
      <c r="H71" s="1351"/>
      <c r="I71" s="1351"/>
      <c r="J71" s="1351"/>
      <c r="K71" s="1351"/>
      <c r="L71" s="1351"/>
      <c r="M71" s="1351"/>
      <c r="N71" s="1351"/>
      <c r="O71" s="1351"/>
      <c r="P71" s="1351"/>
      <c r="Q71" s="1351"/>
      <c r="R71" s="1351"/>
      <c r="S71" s="1351"/>
      <c r="T71" s="1353"/>
      <c r="Y71" s="1215"/>
      <c r="Z71" s="1215"/>
      <c r="AA71" s="1215"/>
      <c r="AB71" s="1215"/>
      <c r="AC71" s="1215"/>
      <c r="AD71" s="1215"/>
      <c r="AE71" s="1215"/>
      <c r="AF71" s="1215"/>
      <c r="AG71" s="1215"/>
      <c r="AH71" s="1215"/>
      <c r="AI71" s="1215"/>
      <c r="AJ71" s="1215"/>
      <c r="AK71" s="1215"/>
      <c r="AL71" s="1215"/>
      <c r="AM71" s="1215"/>
      <c r="AN71" s="1215"/>
      <c r="AO71" s="1215"/>
      <c r="AP71" s="1215"/>
      <c r="AQ71" s="1215"/>
      <c r="AR71" s="1215"/>
      <c r="AS71" s="1215"/>
      <c r="AT71" s="1215"/>
      <c r="AU71" s="1215"/>
      <c r="AV71" s="1215"/>
      <c r="AW71" s="1215"/>
      <c r="AX71" s="1215"/>
      <c r="AY71" s="1215"/>
      <c r="AZ71" s="1215"/>
      <c r="BA71" s="1215"/>
      <c r="BB71" s="1215"/>
      <c r="BC71" s="1215"/>
      <c r="BD71" s="1215"/>
      <c r="BE71" s="1215"/>
      <c r="BF71" s="1215"/>
      <c r="BG71" s="1215"/>
      <c r="BH71" s="1215"/>
      <c r="BI71" s="1215"/>
      <c r="BJ71" s="1215"/>
      <c r="BK71" s="1215"/>
      <c r="BL71" s="1215"/>
      <c r="BM71" s="1215"/>
      <c r="BN71" s="1215"/>
      <c r="BO71" s="1215"/>
      <c r="BP71" s="1215"/>
      <c r="BQ71" s="1215"/>
      <c r="BR71" s="1215"/>
      <c r="BS71" s="1215"/>
      <c r="BT71" s="1215"/>
      <c r="BU71" s="1215"/>
      <c r="BV71" s="1215"/>
      <c r="BW71" s="1215"/>
      <c r="BX71" s="1215"/>
      <c r="BY71" s="1215"/>
      <c r="BZ71" s="1215"/>
      <c r="CA71" s="1215"/>
      <c r="CB71" s="1215"/>
      <c r="CC71" s="1215"/>
      <c r="CD71" s="1215"/>
      <c r="CE71" s="1215"/>
      <c r="CF71" s="1215"/>
      <c r="CG71" s="1215"/>
      <c r="CH71" s="1215"/>
      <c r="CI71" s="1215"/>
      <c r="CJ71" s="1215"/>
      <c r="CK71" s="1215"/>
      <c r="CL71" s="1215"/>
      <c r="CM71" s="1215"/>
      <c r="CN71" s="1215"/>
      <c r="CO71" s="1215"/>
      <c r="CP71" s="1215"/>
      <c r="CQ71" s="1215"/>
      <c r="CR71" s="1215"/>
      <c r="CS71" s="1215"/>
      <c r="CT71" s="1215"/>
      <c r="CU71" s="1215"/>
      <c r="CV71" s="1215"/>
      <c r="CW71" s="1215"/>
      <c r="CX71" s="1215"/>
      <c r="CY71" s="1215"/>
      <c r="CZ71" s="1215"/>
      <c r="DA71" s="1215"/>
      <c r="DB71" s="1215"/>
      <c r="DC71" s="1215"/>
      <c r="DD71" s="1215"/>
      <c r="DE71" s="1215"/>
      <c r="DF71" s="1215"/>
      <c r="DG71" s="1215"/>
      <c r="DH71" s="1215"/>
      <c r="DI71" s="1215"/>
      <c r="DJ71" s="1215"/>
      <c r="DK71" s="1215"/>
      <c r="DL71" s="1215"/>
      <c r="DM71" s="1215"/>
      <c r="DN71" s="1215"/>
      <c r="DO71" s="1215"/>
      <c r="DP71" s="1215"/>
      <c r="DQ71" s="1215"/>
      <c r="DR71" s="1215"/>
      <c r="DS71" s="1215"/>
      <c r="DT71" s="1215"/>
      <c r="DU71" s="1215"/>
      <c r="DV71" s="1215"/>
      <c r="DW71" s="1215"/>
      <c r="DX71" s="1215"/>
      <c r="DY71" s="1215"/>
      <c r="DZ71" s="1215"/>
      <c r="EA71" s="1215"/>
      <c r="EB71" s="1215"/>
      <c r="EC71" s="1215"/>
      <c r="ED71" s="1215"/>
      <c r="EE71" s="1215"/>
      <c r="EF71" s="1215"/>
      <c r="EG71" s="1215"/>
      <c r="EH71" s="1215"/>
      <c r="EI71" s="1215"/>
      <c r="EJ71" s="1215"/>
      <c r="EK71" s="1215"/>
      <c r="EL71" s="1215"/>
      <c r="EM71" s="1215"/>
      <c r="EN71" s="1215"/>
      <c r="EO71" s="1215"/>
      <c r="EP71" s="1215"/>
      <c r="EQ71" s="1215"/>
      <c r="ER71" s="1215"/>
      <c r="ES71" s="1215"/>
      <c r="ET71" s="1215"/>
      <c r="EU71" s="1215"/>
      <c r="EV71" s="1215"/>
      <c r="EW71" s="1215"/>
      <c r="EX71" s="1215"/>
      <c r="EY71" s="1215"/>
      <c r="EZ71" s="1215"/>
      <c r="FA71" s="1215"/>
      <c r="FB71" s="1215"/>
      <c r="FC71" s="1215"/>
      <c r="FD71" s="1215"/>
      <c r="FE71" s="1215"/>
      <c r="FF71" s="1215"/>
      <c r="FG71" s="1215"/>
      <c r="FH71" s="1215"/>
      <c r="FI71" s="1215"/>
      <c r="FJ71" s="1215"/>
      <c r="FK71" s="1215"/>
      <c r="FL71" s="1215"/>
      <c r="FM71" s="1215"/>
      <c r="FN71" s="1215"/>
      <c r="FO71" s="1215"/>
      <c r="FP71" s="1215"/>
      <c r="FQ71" s="1215"/>
      <c r="FR71" s="1215"/>
      <c r="FS71" s="1215"/>
      <c r="FT71" s="1215"/>
      <c r="FU71" s="1215"/>
      <c r="FV71" s="1215"/>
      <c r="FW71" s="1215"/>
      <c r="FX71" s="1215"/>
      <c r="FY71" s="1215"/>
      <c r="FZ71" s="1215"/>
      <c r="GA71" s="1215"/>
      <c r="GB71" s="1215"/>
      <c r="GC71" s="1215"/>
      <c r="GD71" s="1215"/>
      <c r="GE71" s="1215"/>
      <c r="GF71" s="1215"/>
      <c r="GG71" s="1215"/>
      <c r="GH71" s="1215"/>
      <c r="GI71" s="1215"/>
      <c r="GJ71" s="1215"/>
      <c r="GK71" s="1215"/>
      <c r="GL71" s="1215"/>
      <c r="GM71" s="1215"/>
      <c r="GN71" s="1215"/>
      <c r="GO71" s="1215"/>
      <c r="GP71" s="1215"/>
      <c r="GQ71" s="1215"/>
      <c r="GR71" s="1215"/>
      <c r="GS71" s="1215"/>
      <c r="GT71" s="1215"/>
      <c r="GU71" s="1215"/>
      <c r="GV71" s="1215"/>
      <c r="GW71" s="1215"/>
      <c r="GX71" s="1215"/>
      <c r="GY71" s="1215"/>
      <c r="GZ71" s="1215"/>
      <c r="HA71" s="1215"/>
      <c r="HB71" s="1215"/>
      <c r="HC71" s="1215"/>
      <c r="HD71" s="1215"/>
      <c r="HE71" s="1215"/>
      <c r="HF71" s="1215"/>
      <c r="HG71" s="1215"/>
      <c r="HH71" s="1215"/>
      <c r="HI71" s="1215"/>
      <c r="HJ71" s="1215"/>
      <c r="HK71" s="1215"/>
      <c r="HL71" s="1215"/>
      <c r="HM71" s="1215"/>
      <c r="HN71" s="1215"/>
      <c r="HO71" s="1215"/>
      <c r="HP71" s="1215"/>
      <c r="HQ71" s="1215"/>
      <c r="HR71" s="1215"/>
      <c r="HS71" s="1215"/>
      <c r="HT71" s="1215"/>
      <c r="HU71" s="1215"/>
      <c r="HV71" s="1215"/>
      <c r="HW71" s="1215"/>
      <c r="HX71" s="1215"/>
      <c r="HY71" s="1215"/>
      <c r="HZ71" s="1215"/>
      <c r="IA71" s="1215"/>
      <c r="IB71" s="1215"/>
      <c r="IC71" s="1215"/>
      <c r="ID71" s="1215"/>
      <c r="IE71" s="1215"/>
      <c r="IF71" s="1215"/>
      <c r="IG71" s="1215"/>
      <c r="IH71" s="1215"/>
      <c r="II71" s="1215"/>
      <c r="IJ71" s="1215"/>
      <c r="IK71" s="1215"/>
      <c r="IL71" s="1215"/>
      <c r="IM71" s="1215"/>
      <c r="IN71" s="1215"/>
      <c r="IO71" s="1215"/>
      <c r="IP71" s="1215"/>
      <c r="IQ71" s="1215"/>
      <c r="IR71" s="1215"/>
      <c r="IS71" s="1215"/>
      <c r="IT71" s="1215"/>
      <c r="IU71" s="1215"/>
      <c r="IV71" s="1215"/>
      <c r="IW71" s="1215"/>
      <c r="IX71" s="1215"/>
      <c r="IY71" s="1215"/>
      <c r="IZ71" s="1215"/>
    </row>
    <row r="72" spans="1:260" s="1266" customFormat="1" x14ac:dyDescent="0.3">
      <c r="B72" s="1358"/>
      <c r="C72" s="1358"/>
      <c r="D72" s="1358"/>
      <c r="E72" s="1358"/>
      <c r="F72" s="1359"/>
      <c r="G72" s="1358"/>
      <c r="H72" s="1358"/>
      <c r="I72" s="1358"/>
      <c r="J72" s="1358"/>
      <c r="K72" s="1358"/>
      <c r="L72" s="1358"/>
      <c r="M72" s="1358"/>
      <c r="N72" s="1358"/>
      <c r="O72" s="1358"/>
      <c r="P72" s="1358"/>
      <c r="Q72" s="1358"/>
      <c r="R72" s="1358"/>
      <c r="S72" s="1358"/>
      <c r="T72" s="1360"/>
    </row>
    <row r="73" spans="1:260" s="1266" customFormat="1" x14ac:dyDescent="0.3">
      <c r="B73" s="1361"/>
      <c r="C73" s="1361"/>
      <c r="D73" s="1361"/>
      <c r="E73" s="1361"/>
      <c r="F73" s="1362"/>
      <c r="G73" s="1361"/>
      <c r="H73" s="1361"/>
      <c r="I73" s="1361"/>
      <c r="J73" s="1361"/>
      <c r="K73" s="1361"/>
      <c r="L73" s="1361"/>
      <c r="M73" s="1361"/>
      <c r="N73" s="1361"/>
      <c r="O73" s="1361"/>
      <c r="P73" s="1361"/>
      <c r="Q73" s="1361"/>
      <c r="R73" s="1361"/>
      <c r="S73" s="1361"/>
      <c r="T73" s="1360"/>
    </row>
    <row r="74" spans="1:260" s="1266" customFormat="1" x14ac:dyDescent="0.3">
      <c r="B74" s="1358"/>
      <c r="C74" s="1358"/>
      <c r="D74" s="1358"/>
      <c r="E74" s="1358"/>
      <c r="F74" s="1359"/>
      <c r="G74" s="1358"/>
      <c r="H74" s="1358"/>
      <c r="I74" s="1358"/>
      <c r="J74" s="1358"/>
      <c r="K74" s="1358"/>
      <c r="L74" s="1358"/>
      <c r="M74" s="1358"/>
      <c r="N74" s="1358"/>
      <c r="O74" s="1358"/>
      <c r="P74" s="1358"/>
      <c r="Q74" s="1358"/>
      <c r="R74" s="1358"/>
      <c r="S74" s="1358"/>
      <c r="T74" s="1360"/>
    </row>
    <row r="75" spans="1:260" s="1266" customFormat="1" x14ac:dyDescent="0.3">
      <c r="F75" s="1363"/>
      <c r="T75" s="1360"/>
    </row>
    <row r="76" spans="1:260" s="1266" customFormat="1" x14ac:dyDescent="0.3">
      <c r="B76" s="1364"/>
      <c r="C76" s="1364"/>
      <c r="D76" s="1364"/>
      <c r="E76" s="1364"/>
      <c r="F76" s="1365"/>
      <c r="G76" s="1364"/>
      <c r="H76" s="1364"/>
      <c r="I76" s="1364"/>
      <c r="J76" s="1364"/>
      <c r="K76" s="1364"/>
      <c r="L76" s="1364"/>
      <c r="M76" s="1364"/>
      <c r="N76" s="1364"/>
      <c r="O76" s="1364"/>
      <c r="P76" s="1364"/>
      <c r="Q76" s="1364"/>
      <c r="R76" s="1364"/>
      <c r="S76" s="1364"/>
      <c r="T76" s="1360"/>
    </row>
    <row r="77" spans="1:260" s="1266" customFormat="1" x14ac:dyDescent="0.3">
      <c r="F77" s="1363"/>
      <c r="T77" s="1360"/>
    </row>
    <row r="78" spans="1:260" s="1266" customFormat="1" x14ac:dyDescent="0.3">
      <c r="B78" s="1364"/>
      <c r="C78" s="1364"/>
      <c r="D78" s="1364"/>
      <c r="E78" s="1364"/>
      <c r="F78" s="1365"/>
      <c r="G78" s="1364"/>
      <c r="H78" s="1364"/>
      <c r="I78" s="1364"/>
      <c r="J78" s="1364"/>
      <c r="K78" s="1364"/>
      <c r="L78" s="1364"/>
      <c r="M78" s="1364"/>
      <c r="N78" s="1364"/>
      <c r="O78" s="1364"/>
      <c r="P78" s="1364"/>
      <c r="Q78" s="1364"/>
      <c r="R78" s="1364"/>
      <c r="S78" s="1364"/>
      <c r="T78" s="1360"/>
    </row>
    <row r="79" spans="1:260" s="1266" customFormat="1" x14ac:dyDescent="0.3">
      <c r="E79" s="1366"/>
      <c r="F79" s="1367"/>
      <c r="G79" s="1294"/>
      <c r="H79" s="1294"/>
      <c r="I79" s="1294"/>
      <c r="J79" s="1294"/>
      <c r="K79" s="1294"/>
      <c r="L79" s="1294"/>
      <c r="M79" s="1294"/>
      <c r="N79" s="1294"/>
      <c r="O79" s="1294"/>
      <c r="P79" s="1294"/>
      <c r="Q79" s="1294"/>
      <c r="R79" s="1294"/>
      <c r="S79" s="1368"/>
      <c r="T79" s="1360"/>
    </row>
    <row r="80" spans="1:260" s="1266" customFormat="1" x14ac:dyDescent="0.3">
      <c r="E80" s="1366"/>
      <c r="F80" s="1294"/>
      <c r="G80" s="1294"/>
      <c r="H80" s="1294"/>
      <c r="I80" s="1294"/>
      <c r="J80" s="1294"/>
      <c r="K80" s="1294"/>
      <c r="L80" s="1294"/>
      <c r="M80" s="1294"/>
      <c r="N80" s="1294"/>
      <c r="O80" s="1294"/>
      <c r="P80" s="1294"/>
      <c r="Q80" s="1294"/>
      <c r="R80" s="1294"/>
      <c r="S80" s="1368"/>
      <c r="T80" s="1360"/>
    </row>
  </sheetData>
  <autoFilter ref="A5:IZ66" xr:uid="{00000000-0009-0000-0000-000004000000}"/>
  <mergeCells count="7">
    <mergeCell ref="X2:X4"/>
    <mergeCell ref="A2:A4"/>
    <mergeCell ref="B2:S2"/>
    <mergeCell ref="T2:T4"/>
    <mergeCell ref="U2:U4"/>
    <mergeCell ref="V2:V4"/>
    <mergeCell ref="W2:W4"/>
  </mergeCells>
  <pageMargins left="0.18" right="0.15748031496062992" top="0.48" bottom="0.39370078740157483" header="0.31496062992125984" footer="0.31496062992125984"/>
  <pageSetup paperSize="9" scale="65" orientation="portrait"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sheetPr>
  <dimension ref="A1:IO59"/>
  <sheetViews>
    <sheetView topLeftCell="A17" zoomScaleNormal="100" workbookViewId="0">
      <selection activeCell="P38" sqref="P38"/>
    </sheetView>
  </sheetViews>
  <sheetFormatPr defaultColWidth="14.7265625" defaultRowHeight="13" x14ac:dyDescent="0.3"/>
  <cols>
    <col min="1" max="1" width="25" style="256" customWidth="1"/>
    <col min="2" max="8" width="7.453125" style="259" customWidth="1"/>
    <col min="9" max="9" width="52.54296875" style="260" customWidth="1"/>
    <col min="10" max="11" width="5.453125" style="261" bestFit="1" customWidth="1"/>
    <col min="12" max="12" width="5.7265625" style="261" bestFit="1" customWidth="1"/>
    <col min="13" max="13" width="12.54296875" style="261" customWidth="1"/>
    <col min="14" max="14" width="35.26953125" style="217" customWidth="1"/>
    <col min="15" max="241" width="8.7265625" style="217" customWidth="1"/>
    <col min="242" max="242" width="39.7265625" style="217" customWidth="1"/>
    <col min="243" max="245" width="6.1796875" style="217" customWidth="1"/>
    <col min="246" max="246" width="8.453125" style="217" bestFit="1" customWidth="1"/>
    <col min="247" max="247" width="12.54296875" style="217" bestFit="1" customWidth="1"/>
    <col min="248" max="248" width="27.26953125" style="217" bestFit="1" customWidth="1"/>
    <col min="249" max="249" width="9.1796875" style="217" customWidth="1"/>
    <col min="250" max="250" width="14.7265625" style="217"/>
    <col min="251" max="251" width="32.81640625" style="217" customWidth="1"/>
    <col min="252" max="255" width="5.54296875" style="217" customWidth="1"/>
    <col min="256" max="256" width="7" style="217" customWidth="1"/>
    <col min="257" max="264" width="5.54296875" style="217" customWidth="1"/>
    <col min="265" max="265" width="55" style="217" customWidth="1"/>
    <col min="266" max="266" width="8.7265625" style="217" customWidth="1"/>
    <col min="267" max="267" width="8.1796875" style="217" customWidth="1"/>
    <col min="268" max="268" width="7.1796875" style="217" customWidth="1"/>
    <col min="269" max="269" width="16.54296875" style="217" bestFit="1" customWidth="1"/>
    <col min="270" max="270" width="18.54296875" style="217" customWidth="1"/>
    <col min="271" max="497" width="8.7265625" style="217" customWidth="1"/>
    <col min="498" max="498" width="39.7265625" style="217" customWidth="1"/>
    <col min="499" max="501" width="6.1796875" style="217" customWidth="1"/>
    <col min="502" max="502" width="8.453125" style="217" bestFit="1" customWidth="1"/>
    <col min="503" max="503" width="12.54296875" style="217" bestFit="1" customWidth="1"/>
    <col min="504" max="504" width="27.26953125" style="217" bestFit="1" customWidth="1"/>
    <col min="505" max="505" width="9.1796875" style="217" customWidth="1"/>
    <col min="506" max="506" width="14.7265625" style="217"/>
    <col min="507" max="507" width="32.81640625" style="217" customWidth="1"/>
    <col min="508" max="511" width="5.54296875" style="217" customWidth="1"/>
    <col min="512" max="512" width="7" style="217" customWidth="1"/>
    <col min="513" max="520" width="5.54296875" style="217" customWidth="1"/>
    <col min="521" max="521" width="55" style="217" customWidth="1"/>
    <col min="522" max="522" width="8.7265625" style="217" customWidth="1"/>
    <col min="523" max="523" width="8.1796875" style="217" customWidth="1"/>
    <col min="524" max="524" width="7.1796875" style="217" customWidth="1"/>
    <col min="525" max="525" width="16.54296875" style="217" bestFit="1" customWidth="1"/>
    <col min="526" max="526" width="18.54296875" style="217" customWidth="1"/>
    <col min="527" max="753" width="8.7265625" style="217" customWidth="1"/>
    <col min="754" max="754" width="39.7265625" style="217" customWidth="1"/>
    <col min="755" max="757" width="6.1796875" style="217" customWidth="1"/>
    <col min="758" max="758" width="8.453125" style="217" bestFit="1" customWidth="1"/>
    <col min="759" max="759" width="12.54296875" style="217" bestFit="1" customWidth="1"/>
    <col min="760" max="760" width="27.26953125" style="217" bestFit="1" customWidth="1"/>
    <col min="761" max="761" width="9.1796875" style="217" customWidth="1"/>
    <col min="762" max="762" width="14.7265625" style="217"/>
    <col min="763" max="763" width="32.81640625" style="217" customWidth="1"/>
    <col min="764" max="767" width="5.54296875" style="217" customWidth="1"/>
    <col min="768" max="768" width="7" style="217" customWidth="1"/>
    <col min="769" max="776" width="5.54296875" style="217" customWidth="1"/>
    <col min="777" max="777" width="55" style="217" customWidth="1"/>
    <col min="778" max="778" width="8.7265625" style="217" customWidth="1"/>
    <col min="779" max="779" width="8.1796875" style="217" customWidth="1"/>
    <col min="780" max="780" width="7.1796875" style="217" customWidth="1"/>
    <col min="781" max="781" width="16.54296875" style="217" bestFit="1" customWidth="1"/>
    <col min="782" max="782" width="18.54296875" style="217" customWidth="1"/>
    <col min="783" max="1009" width="8.7265625" style="217" customWidth="1"/>
    <col min="1010" max="1010" width="39.7265625" style="217" customWidth="1"/>
    <col min="1011" max="1013" width="6.1796875" style="217" customWidth="1"/>
    <col min="1014" max="1014" width="8.453125" style="217" bestFit="1" customWidth="1"/>
    <col min="1015" max="1015" width="12.54296875" style="217" bestFit="1" customWidth="1"/>
    <col min="1016" max="1016" width="27.26953125" style="217" bestFit="1" customWidth="1"/>
    <col min="1017" max="1017" width="9.1796875" style="217" customWidth="1"/>
    <col min="1018" max="1018" width="14.7265625" style="217"/>
    <col min="1019" max="1019" width="32.81640625" style="217" customWidth="1"/>
    <col min="1020" max="1023" width="5.54296875" style="217" customWidth="1"/>
    <col min="1024" max="1024" width="7" style="217" customWidth="1"/>
    <col min="1025" max="1032" width="5.54296875" style="217" customWidth="1"/>
    <col min="1033" max="1033" width="55" style="217" customWidth="1"/>
    <col min="1034" max="1034" width="8.7265625" style="217" customWidth="1"/>
    <col min="1035" max="1035" width="8.1796875" style="217" customWidth="1"/>
    <col min="1036" max="1036" width="7.1796875" style="217" customWidth="1"/>
    <col min="1037" max="1037" width="16.54296875" style="217" bestFit="1" customWidth="1"/>
    <col min="1038" max="1038" width="18.54296875" style="217" customWidth="1"/>
    <col min="1039" max="1265" width="8.7265625" style="217" customWidth="1"/>
    <col min="1266" max="1266" width="39.7265625" style="217" customWidth="1"/>
    <col min="1267" max="1269" width="6.1796875" style="217" customWidth="1"/>
    <col min="1270" max="1270" width="8.453125" style="217" bestFit="1" customWidth="1"/>
    <col min="1271" max="1271" width="12.54296875" style="217" bestFit="1" customWidth="1"/>
    <col min="1272" max="1272" width="27.26953125" style="217" bestFit="1" customWidth="1"/>
    <col min="1273" max="1273" width="9.1796875" style="217" customWidth="1"/>
    <col min="1274" max="1274" width="14.7265625" style="217"/>
    <col min="1275" max="1275" width="32.81640625" style="217" customWidth="1"/>
    <col min="1276" max="1279" width="5.54296875" style="217" customWidth="1"/>
    <col min="1280" max="1280" width="7" style="217" customWidth="1"/>
    <col min="1281" max="1288" width="5.54296875" style="217" customWidth="1"/>
    <col min="1289" max="1289" width="55" style="217" customWidth="1"/>
    <col min="1290" max="1290" width="8.7265625" style="217" customWidth="1"/>
    <col min="1291" max="1291" width="8.1796875" style="217" customWidth="1"/>
    <col min="1292" max="1292" width="7.1796875" style="217" customWidth="1"/>
    <col min="1293" max="1293" width="16.54296875" style="217" bestFit="1" customWidth="1"/>
    <col min="1294" max="1294" width="18.54296875" style="217" customWidth="1"/>
    <col min="1295" max="1521" width="8.7265625" style="217" customWidth="1"/>
    <col min="1522" max="1522" width="39.7265625" style="217" customWidth="1"/>
    <col min="1523" max="1525" width="6.1796875" style="217" customWidth="1"/>
    <col min="1526" max="1526" width="8.453125" style="217" bestFit="1" customWidth="1"/>
    <col min="1527" max="1527" width="12.54296875" style="217" bestFit="1" customWidth="1"/>
    <col min="1528" max="1528" width="27.26953125" style="217" bestFit="1" customWidth="1"/>
    <col min="1529" max="1529" width="9.1796875" style="217" customWidth="1"/>
    <col min="1530" max="1530" width="14.7265625" style="217"/>
    <col min="1531" max="1531" width="32.81640625" style="217" customWidth="1"/>
    <col min="1532" max="1535" width="5.54296875" style="217" customWidth="1"/>
    <col min="1536" max="1536" width="7" style="217" customWidth="1"/>
    <col min="1537" max="1544" width="5.54296875" style="217" customWidth="1"/>
    <col min="1545" max="1545" width="55" style="217" customWidth="1"/>
    <col min="1546" max="1546" width="8.7265625" style="217" customWidth="1"/>
    <col min="1547" max="1547" width="8.1796875" style="217" customWidth="1"/>
    <col min="1548" max="1548" width="7.1796875" style="217" customWidth="1"/>
    <col min="1549" max="1549" width="16.54296875" style="217" bestFit="1" customWidth="1"/>
    <col min="1550" max="1550" width="18.54296875" style="217" customWidth="1"/>
    <col min="1551" max="1777" width="8.7265625" style="217" customWidth="1"/>
    <col min="1778" max="1778" width="39.7265625" style="217" customWidth="1"/>
    <col min="1779" max="1781" width="6.1796875" style="217" customWidth="1"/>
    <col min="1782" max="1782" width="8.453125" style="217" bestFit="1" customWidth="1"/>
    <col min="1783" max="1783" width="12.54296875" style="217" bestFit="1" customWidth="1"/>
    <col min="1784" max="1784" width="27.26953125" style="217" bestFit="1" customWidth="1"/>
    <col min="1785" max="1785" width="9.1796875" style="217" customWidth="1"/>
    <col min="1786" max="1786" width="14.7265625" style="217"/>
    <col min="1787" max="1787" width="32.81640625" style="217" customWidth="1"/>
    <col min="1788" max="1791" width="5.54296875" style="217" customWidth="1"/>
    <col min="1792" max="1792" width="7" style="217" customWidth="1"/>
    <col min="1793" max="1800" width="5.54296875" style="217" customWidth="1"/>
    <col min="1801" max="1801" width="55" style="217" customWidth="1"/>
    <col min="1802" max="1802" width="8.7265625" style="217" customWidth="1"/>
    <col min="1803" max="1803" width="8.1796875" style="217" customWidth="1"/>
    <col min="1804" max="1804" width="7.1796875" style="217" customWidth="1"/>
    <col min="1805" max="1805" width="16.54296875" style="217" bestFit="1" customWidth="1"/>
    <col min="1806" max="1806" width="18.54296875" style="217" customWidth="1"/>
    <col min="1807" max="2033" width="8.7265625" style="217" customWidth="1"/>
    <col min="2034" max="2034" width="39.7265625" style="217" customWidth="1"/>
    <col min="2035" max="2037" width="6.1796875" style="217" customWidth="1"/>
    <col min="2038" max="2038" width="8.453125" style="217" bestFit="1" customWidth="1"/>
    <col min="2039" max="2039" width="12.54296875" style="217" bestFit="1" customWidth="1"/>
    <col min="2040" max="2040" width="27.26953125" style="217" bestFit="1" customWidth="1"/>
    <col min="2041" max="2041" width="9.1796875" style="217" customWidth="1"/>
    <col min="2042" max="2042" width="14.7265625" style="217"/>
    <col min="2043" max="2043" width="32.81640625" style="217" customWidth="1"/>
    <col min="2044" max="2047" width="5.54296875" style="217" customWidth="1"/>
    <col min="2048" max="2048" width="7" style="217" customWidth="1"/>
    <col min="2049" max="2056" width="5.54296875" style="217" customWidth="1"/>
    <col min="2057" max="2057" width="55" style="217" customWidth="1"/>
    <col min="2058" max="2058" width="8.7265625" style="217" customWidth="1"/>
    <col min="2059" max="2059" width="8.1796875" style="217" customWidth="1"/>
    <col min="2060" max="2060" width="7.1796875" style="217" customWidth="1"/>
    <col min="2061" max="2061" width="16.54296875" style="217" bestFit="1" customWidth="1"/>
    <col min="2062" max="2062" width="18.54296875" style="217" customWidth="1"/>
    <col min="2063" max="2289" width="8.7265625" style="217" customWidth="1"/>
    <col min="2290" max="2290" width="39.7265625" style="217" customWidth="1"/>
    <col min="2291" max="2293" width="6.1796875" style="217" customWidth="1"/>
    <col min="2294" max="2294" width="8.453125" style="217" bestFit="1" customWidth="1"/>
    <col min="2295" max="2295" width="12.54296875" style="217" bestFit="1" customWidth="1"/>
    <col min="2296" max="2296" width="27.26953125" style="217" bestFit="1" customWidth="1"/>
    <col min="2297" max="2297" width="9.1796875" style="217" customWidth="1"/>
    <col min="2298" max="2298" width="14.7265625" style="217"/>
    <col min="2299" max="2299" width="32.81640625" style="217" customWidth="1"/>
    <col min="2300" max="2303" width="5.54296875" style="217" customWidth="1"/>
    <col min="2304" max="2304" width="7" style="217" customWidth="1"/>
    <col min="2305" max="2312" width="5.54296875" style="217" customWidth="1"/>
    <col min="2313" max="2313" width="55" style="217" customWidth="1"/>
    <col min="2314" max="2314" width="8.7265625" style="217" customWidth="1"/>
    <col min="2315" max="2315" width="8.1796875" style="217" customWidth="1"/>
    <col min="2316" max="2316" width="7.1796875" style="217" customWidth="1"/>
    <col min="2317" max="2317" width="16.54296875" style="217" bestFit="1" customWidth="1"/>
    <col min="2318" max="2318" width="18.54296875" style="217" customWidth="1"/>
    <col min="2319" max="2545" width="8.7265625" style="217" customWidth="1"/>
    <col min="2546" max="2546" width="39.7265625" style="217" customWidth="1"/>
    <col min="2547" max="2549" width="6.1796875" style="217" customWidth="1"/>
    <col min="2550" max="2550" width="8.453125" style="217" bestFit="1" customWidth="1"/>
    <col min="2551" max="2551" width="12.54296875" style="217" bestFit="1" customWidth="1"/>
    <col min="2552" max="2552" width="27.26953125" style="217" bestFit="1" customWidth="1"/>
    <col min="2553" max="2553" width="9.1796875" style="217" customWidth="1"/>
    <col min="2554" max="2554" width="14.7265625" style="217"/>
    <col min="2555" max="2555" width="32.81640625" style="217" customWidth="1"/>
    <col min="2556" max="2559" width="5.54296875" style="217" customWidth="1"/>
    <col min="2560" max="2560" width="7" style="217" customWidth="1"/>
    <col min="2561" max="2568" width="5.54296875" style="217" customWidth="1"/>
    <col min="2569" max="2569" width="55" style="217" customWidth="1"/>
    <col min="2570" max="2570" width="8.7265625" style="217" customWidth="1"/>
    <col min="2571" max="2571" width="8.1796875" style="217" customWidth="1"/>
    <col min="2572" max="2572" width="7.1796875" style="217" customWidth="1"/>
    <col min="2573" max="2573" width="16.54296875" style="217" bestFit="1" customWidth="1"/>
    <col min="2574" max="2574" width="18.54296875" style="217" customWidth="1"/>
    <col min="2575" max="2801" width="8.7265625" style="217" customWidth="1"/>
    <col min="2802" max="2802" width="39.7265625" style="217" customWidth="1"/>
    <col min="2803" max="2805" width="6.1796875" style="217" customWidth="1"/>
    <col min="2806" max="2806" width="8.453125" style="217" bestFit="1" customWidth="1"/>
    <col min="2807" max="2807" width="12.54296875" style="217" bestFit="1" customWidth="1"/>
    <col min="2808" max="2808" width="27.26953125" style="217" bestFit="1" customWidth="1"/>
    <col min="2809" max="2809" width="9.1796875" style="217" customWidth="1"/>
    <col min="2810" max="2810" width="14.7265625" style="217"/>
    <col min="2811" max="2811" width="32.81640625" style="217" customWidth="1"/>
    <col min="2812" max="2815" width="5.54296875" style="217" customWidth="1"/>
    <col min="2816" max="2816" width="7" style="217" customWidth="1"/>
    <col min="2817" max="2824" width="5.54296875" style="217" customWidth="1"/>
    <col min="2825" max="2825" width="55" style="217" customWidth="1"/>
    <col min="2826" max="2826" width="8.7265625" style="217" customWidth="1"/>
    <col min="2827" max="2827" width="8.1796875" style="217" customWidth="1"/>
    <col min="2828" max="2828" width="7.1796875" style="217" customWidth="1"/>
    <col min="2829" max="2829" width="16.54296875" style="217" bestFit="1" customWidth="1"/>
    <col min="2830" max="2830" width="18.54296875" style="217" customWidth="1"/>
    <col min="2831" max="3057" width="8.7265625" style="217" customWidth="1"/>
    <col min="3058" max="3058" width="39.7265625" style="217" customWidth="1"/>
    <col min="3059" max="3061" width="6.1796875" style="217" customWidth="1"/>
    <col min="3062" max="3062" width="8.453125" style="217" bestFit="1" customWidth="1"/>
    <col min="3063" max="3063" width="12.54296875" style="217" bestFit="1" customWidth="1"/>
    <col min="3064" max="3064" width="27.26953125" style="217" bestFit="1" customWidth="1"/>
    <col min="3065" max="3065" width="9.1796875" style="217" customWidth="1"/>
    <col min="3066" max="3066" width="14.7265625" style="217"/>
    <col min="3067" max="3067" width="32.81640625" style="217" customWidth="1"/>
    <col min="3068" max="3071" width="5.54296875" style="217" customWidth="1"/>
    <col min="3072" max="3072" width="7" style="217" customWidth="1"/>
    <col min="3073" max="3080" width="5.54296875" style="217" customWidth="1"/>
    <col min="3081" max="3081" width="55" style="217" customWidth="1"/>
    <col min="3082" max="3082" width="8.7265625" style="217" customWidth="1"/>
    <col min="3083" max="3083" width="8.1796875" style="217" customWidth="1"/>
    <col min="3084" max="3084" width="7.1796875" style="217" customWidth="1"/>
    <col min="3085" max="3085" width="16.54296875" style="217" bestFit="1" customWidth="1"/>
    <col min="3086" max="3086" width="18.54296875" style="217" customWidth="1"/>
    <col min="3087" max="3313" width="8.7265625" style="217" customWidth="1"/>
    <col min="3314" max="3314" width="39.7265625" style="217" customWidth="1"/>
    <col min="3315" max="3317" width="6.1796875" style="217" customWidth="1"/>
    <col min="3318" max="3318" width="8.453125" style="217" bestFit="1" customWidth="1"/>
    <col min="3319" max="3319" width="12.54296875" style="217" bestFit="1" customWidth="1"/>
    <col min="3320" max="3320" width="27.26953125" style="217" bestFit="1" customWidth="1"/>
    <col min="3321" max="3321" width="9.1796875" style="217" customWidth="1"/>
    <col min="3322" max="3322" width="14.7265625" style="217"/>
    <col min="3323" max="3323" width="32.81640625" style="217" customWidth="1"/>
    <col min="3324" max="3327" width="5.54296875" style="217" customWidth="1"/>
    <col min="3328" max="3328" width="7" style="217" customWidth="1"/>
    <col min="3329" max="3336" width="5.54296875" style="217" customWidth="1"/>
    <col min="3337" max="3337" width="55" style="217" customWidth="1"/>
    <col min="3338" max="3338" width="8.7265625" style="217" customWidth="1"/>
    <col min="3339" max="3339" width="8.1796875" style="217" customWidth="1"/>
    <col min="3340" max="3340" width="7.1796875" style="217" customWidth="1"/>
    <col min="3341" max="3341" width="16.54296875" style="217" bestFit="1" customWidth="1"/>
    <col min="3342" max="3342" width="18.54296875" style="217" customWidth="1"/>
    <col min="3343" max="3569" width="8.7265625" style="217" customWidth="1"/>
    <col min="3570" max="3570" width="39.7265625" style="217" customWidth="1"/>
    <col min="3571" max="3573" width="6.1796875" style="217" customWidth="1"/>
    <col min="3574" max="3574" width="8.453125" style="217" bestFit="1" customWidth="1"/>
    <col min="3575" max="3575" width="12.54296875" style="217" bestFit="1" customWidth="1"/>
    <col min="3576" max="3576" width="27.26953125" style="217" bestFit="1" customWidth="1"/>
    <col min="3577" max="3577" width="9.1796875" style="217" customWidth="1"/>
    <col min="3578" max="3578" width="14.7265625" style="217"/>
    <col min="3579" max="3579" width="32.81640625" style="217" customWidth="1"/>
    <col min="3580" max="3583" width="5.54296875" style="217" customWidth="1"/>
    <col min="3584" max="3584" width="7" style="217" customWidth="1"/>
    <col min="3585" max="3592" width="5.54296875" style="217" customWidth="1"/>
    <col min="3593" max="3593" width="55" style="217" customWidth="1"/>
    <col min="3594" max="3594" width="8.7265625" style="217" customWidth="1"/>
    <col min="3595" max="3595" width="8.1796875" style="217" customWidth="1"/>
    <col min="3596" max="3596" width="7.1796875" style="217" customWidth="1"/>
    <col min="3597" max="3597" width="16.54296875" style="217" bestFit="1" customWidth="1"/>
    <col min="3598" max="3598" width="18.54296875" style="217" customWidth="1"/>
    <col min="3599" max="3825" width="8.7265625" style="217" customWidth="1"/>
    <col min="3826" max="3826" width="39.7265625" style="217" customWidth="1"/>
    <col min="3827" max="3829" width="6.1796875" style="217" customWidth="1"/>
    <col min="3830" max="3830" width="8.453125" style="217" bestFit="1" customWidth="1"/>
    <col min="3831" max="3831" width="12.54296875" style="217" bestFit="1" customWidth="1"/>
    <col min="3832" max="3832" width="27.26953125" style="217" bestFit="1" customWidth="1"/>
    <col min="3833" max="3833" width="9.1796875" style="217" customWidth="1"/>
    <col min="3834" max="3834" width="14.7265625" style="217"/>
    <col min="3835" max="3835" width="32.81640625" style="217" customWidth="1"/>
    <col min="3836" max="3839" width="5.54296875" style="217" customWidth="1"/>
    <col min="3840" max="3840" width="7" style="217" customWidth="1"/>
    <col min="3841" max="3848" width="5.54296875" style="217" customWidth="1"/>
    <col min="3849" max="3849" width="55" style="217" customWidth="1"/>
    <col min="3850" max="3850" width="8.7265625" style="217" customWidth="1"/>
    <col min="3851" max="3851" width="8.1796875" style="217" customWidth="1"/>
    <col min="3852" max="3852" width="7.1796875" style="217" customWidth="1"/>
    <col min="3853" max="3853" width="16.54296875" style="217" bestFit="1" customWidth="1"/>
    <col min="3854" max="3854" width="18.54296875" style="217" customWidth="1"/>
    <col min="3855" max="4081" width="8.7265625" style="217" customWidth="1"/>
    <col min="4082" max="4082" width="39.7265625" style="217" customWidth="1"/>
    <col min="4083" max="4085" width="6.1796875" style="217" customWidth="1"/>
    <col min="4086" max="4086" width="8.453125" style="217" bestFit="1" customWidth="1"/>
    <col min="4087" max="4087" width="12.54296875" style="217" bestFit="1" customWidth="1"/>
    <col min="4088" max="4088" width="27.26953125" style="217" bestFit="1" customWidth="1"/>
    <col min="4089" max="4089" width="9.1796875" style="217" customWidth="1"/>
    <col min="4090" max="4090" width="14.7265625" style="217"/>
    <col min="4091" max="4091" width="32.81640625" style="217" customWidth="1"/>
    <col min="4092" max="4095" width="5.54296875" style="217" customWidth="1"/>
    <col min="4096" max="4096" width="7" style="217" customWidth="1"/>
    <col min="4097" max="4104" width="5.54296875" style="217" customWidth="1"/>
    <col min="4105" max="4105" width="55" style="217" customWidth="1"/>
    <col min="4106" max="4106" width="8.7265625" style="217" customWidth="1"/>
    <col min="4107" max="4107" width="8.1796875" style="217" customWidth="1"/>
    <col min="4108" max="4108" width="7.1796875" style="217" customWidth="1"/>
    <col min="4109" max="4109" width="16.54296875" style="217" bestFit="1" customWidth="1"/>
    <col min="4110" max="4110" width="18.54296875" style="217" customWidth="1"/>
    <col min="4111" max="4337" width="8.7265625" style="217" customWidth="1"/>
    <col min="4338" max="4338" width="39.7265625" style="217" customWidth="1"/>
    <col min="4339" max="4341" width="6.1796875" style="217" customWidth="1"/>
    <col min="4342" max="4342" width="8.453125" style="217" bestFit="1" customWidth="1"/>
    <col min="4343" max="4343" width="12.54296875" style="217" bestFit="1" customWidth="1"/>
    <col min="4344" max="4344" width="27.26953125" style="217" bestFit="1" customWidth="1"/>
    <col min="4345" max="4345" width="9.1796875" style="217" customWidth="1"/>
    <col min="4346" max="4346" width="14.7265625" style="217"/>
    <col min="4347" max="4347" width="32.81640625" style="217" customWidth="1"/>
    <col min="4348" max="4351" width="5.54296875" style="217" customWidth="1"/>
    <col min="4352" max="4352" width="7" style="217" customWidth="1"/>
    <col min="4353" max="4360" width="5.54296875" style="217" customWidth="1"/>
    <col min="4361" max="4361" width="55" style="217" customWidth="1"/>
    <col min="4362" max="4362" width="8.7265625" style="217" customWidth="1"/>
    <col min="4363" max="4363" width="8.1796875" style="217" customWidth="1"/>
    <col min="4364" max="4364" width="7.1796875" style="217" customWidth="1"/>
    <col min="4365" max="4365" width="16.54296875" style="217" bestFit="1" customWidth="1"/>
    <col min="4366" max="4366" width="18.54296875" style="217" customWidth="1"/>
    <col min="4367" max="4593" width="8.7265625" style="217" customWidth="1"/>
    <col min="4594" max="4594" width="39.7265625" style="217" customWidth="1"/>
    <col min="4595" max="4597" width="6.1796875" style="217" customWidth="1"/>
    <col min="4598" max="4598" width="8.453125" style="217" bestFit="1" customWidth="1"/>
    <col min="4599" max="4599" width="12.54296875" style="217" bestFit="1" customWidth="1"/>
    <col min="4600" max="4600" width="27.26953125" style="217" bestFit="1" customWidth="1"/>
    <col min="4601" max="4601" width="9.1796875" style="217" customWidth="1"/>
    <col min="4602" max="4602" width="14.7265625" style="217"/>
    <col min="4603" max="4603" width="32.81640625" style="217" customWidth="1"/>
    <col min="4604" max="4607" width="5.54296875" style="217" customWidth="1"/>
    <col min="4608" max="4608" width="7" style="217" customWidth="1"/>
    <col min="4609" max="4616" width="5.54296875" style="217" customWidth="1"/>
    <col min="4617" max="4617" width="55" style="217" customWidth="1"/>
    <col min="4618" max="4618" width="8.7265625" style="217" customWidth="1"/>
    <col min="4619" max="4619" width="8.1796875" style="217" customWidth="1"/>
    <col min="4620" max="4620" width="7.1796875" style="217" customWidth="1"/>
    <col min="4621" max="4621" width="16.54296875" style="217" bestFit="1" customWidth="1"/>
    <col min="4622" max="4622" width="18.54296875" style="217" customWidth="1"/>
    <col min="4623" max="4849" width="8.7265625" style="217" customWidth="1"/>
    <col min="4850" max="4850" width="39.7265625" style="217" customWidth="1"/>
    <col min="4851" max="4853" width="6.1796875" style="217" customWidth="1"/>
    <col min="4854" max="4854" width="8.453125" style="217" bestFit="1" customWidth="1"/>
    <col min="4855" max="4855" width="12.54296875" style="217" bestFit="1" customWidth="1"/>
    <col min="4856" max="4856" width="27.26953125" style="217" bestFit="1" customWidth="1"/>
    <col min="4857" max="4857" width="9.1796875" style="217" customWidth="1"/>
    <col min="4858" max="4858" width="14.7265625" style="217"/>
    <col min="4859" max="4859" width="32.81640625" style="217" customWidth="1"/>
    <col min="4860" max="4863" width="5.54296875" style="217" customWidth="1"/>
    <col min="4864" max="4864" width="7" style="217" customWidth="1"/>
    <col min="4865" max="4872" width="5.54296875" style="217" customWidth="1"/>
    <col min="4873" max="4873" width="55" style="217" customWidth="1"/>
    <col min="4874" max="4874" width="8.7265625" style="217" customWidth="1"/>
    <col min="4875" max="4875" width="8.1796875" style="217" customWidth="1"/>
    <col min="4876" max="4876" width="7.1796875" style="217" customWidth="1"/>
    <col min="4877" max="4877" width="16.54296875" style="217" bestFit="1" customWidth="1"/>
    <col min="4878" max="4878" width="18.54296875" style="217" customWidth="1"/>
    <col min="4879" max="5105" width="8.7265625" style="217" customWidth="1"/>
    <col min="5106" max="5106" width="39.7265625" style="217" customWidth="1"/>
    <col min="5107" max="5109" width="6.1796875" style="217" customWidth="1"/>
    <col min="5110" max="5110" width="8.453125" style="217" bestFit="1" customWidth="1"/>
    <col min="5111" max="5111" width="12.54296875" style="217" bestFit="1" customWidth="1"/>
    <col min="5112" max="5112" width="27.26953125" style="217" bestFit="1" customWidth="1"/>
    <col min="5113" max="5113" width="9.1796875" style="217" customWidth="1"/>
    <col min="5114" max="5114" width="14.7265625" style="217"/>
    <col min="5115" max="5115" width="32.81640625" style="217" customWidth="1"/>
    <col min="5116" max="5119" width="5.54296875" style="217" customWidth="1"/>
    <col min="5120" max="5120" width="7" style="217" customWidth="1"/>
    <col min="5121" max="5128" width="5.54296875" style="217" customWidth="1"/>
    <col min="5129" max="5129" width="55" style="217" customWidth="1"/>
    <col min="5130" max="5130" width="8.7265625" style="217" customWidth="1"/>
    <col min="5131" max="5131" width="8.1796875" style="217" customWidth="1"/>
    <col min="5132" max="5132" width="7.1796875" style="217" customWidth="1"/>
    <col min="5133" max="5133" width="16.54296875" style="217" bestFit="1" customWidth="1"/>
    <col min="5134" max="5134" width="18.54296875" style="217" customWidth="1"/>
    <col min="5135" max="5361" width="8.7265625" style="217" customWidth="1"/>
    <col min="5362" max="5362" width="39.7265625" style="217" customWidth="1"/>
    <col min="5363" max="5365" width="6.1796875" style="217" customWidth="1"/>
    <col min="5366" max="5366" width="8.453125" style="217" bestFit="1" customWidth="1"/>
    <col min="5367" max="5367" width="12.54296875" style="217" bestFit="1" customWidth="1"/>
    <col min="5368" max="5368" width="27.26953125" style="217" bestFit="1" customWidth="1"/>
    <col min="5369" max="5369" width="9.1796875" style="217" customWidth="1"/>
    <col min="5370" max="5370" width="14.7265625" style="217"/>
    <col min="5371" max="5371" width="32.81640625" style="217" customWidth="1"/>
    <col min="5372" max="5375" width="5.54296875" style="217" customWidth="1"/>
    <col min="5376" max="5376" width="7" style="217" customWidth="1"/>
    <col min="5377" max="5384" width="5.54296875" style="217" customWidth="1"/>
    <col min="5385" max="5385" width="55" style="217" customWidth="1"/>
    <col min="5386" max="5386" width="8.7265625" style="217" customWidth="1"/>
    <col min="5387" max="5387" width="8.1796875" style="217" customWidth="1"/>
    <col min="5388" max="5388" width="7.1796875" style="217" customWidth="1"/>
    <col min="5389" max="5389" width="16.54296875" style="217" bestFit="1" customWidth="1"/>
    <col min="5390" max="5390" width="18.54296875" style="217" customWidth="1"/>
    <col min="5391" max="5617" width="8.7265625" style="217" customWidth="1"/>
    <col min="5618" max="5618" width="39.7265625" style="217" customWidth="1"/>
    <col min="5619" max="5621" width="6.1796875" style="217" customWidth="1"/>
    <col min="5622" max="5622" width="8.453125" style="217" bestFit="1" customWidth="1"/>
    <col min="5623" max="5623" width="12.54296875" style="217" bestFit="1" customWidth="1"/>
    <col min="5624" max="5624" width="27.26953125" style="217" bestFit="1" customWidth="1"/>
    <col min="5625" max="5625" width="9.1796875" style="217" customWidth="1"/>
    <col min="5626" max="5626" width="14.7265625" style="217"/>
    <col min="5627" max="5627" width="32.81640625" style="217" customWidth="1"/>
    <col min="5628" max="5631" width="5.54296875" style="217" customWidth="1"/>
    <col min="5632" max="5632" width="7" style="217" customWidth="1"/>
    <col min="5633" max="5640" width="5.54296875" style="217" customWidth="1"/>
    <col min="5641" max="5641" width="55" style="217" customWidth="1"/>
    <col min="5642" max="5642" width="8.7265625" style="217" customWidth="1"/>
    <col min="5643" max="5643" width="8.1796875" style="217" customWidth="1"/>
    <col min="5644" max="5644" width="7.1796875" style="217" customWidth="1"/>
    <col min="5645" max="5645" width="16.54296875" style="217" bestFit="1" customWidth="1"/>
    <col min="5646" max="5646" width="18.54296875" style="217" customWidth="1"/>
    <col min="5647" max="5873" width="8.7265625" style="217" customWidth="1"/>
    <col min="5874" max="5874" width="39.7265625" style="217" customWidth="1"/>
    <col min="5875" max="5877" width="6.1796875" style="217" customWidth="1"/>
    <col min="5878" max="5878" width="8.453125" style="217" bestFit="1" customWidth="1"/>
    <col min="5879" max="5879" width="12.54296875" style="217" bestFit="1" customWidth="1"/>
    <col min="5880" max="5880" width="27.26953125" style="217" bestFit="1" customWidth="1"/>
    <col min="5881" max="5881" width="9.1796875" style="217" customWidth="1"/>
    <col min="5882" max="5882" width="14.7265625" style="217"/>
    <col min="5883" max="5883" width="32.81640625" style="217" customWidth="1"/>
    <col min="5884" max="5887" width="5.54296875" style="217" customWidth="1"/>
    <col min="5888" max="5888" width="7" style="217" customWidth="1"/>
    <col min="5889" max="5896" width="5.54296875" style="217" customWidth="1"/>
    <col min="5897" max="5897" width="55" style="217" customWidth="1"/>
    <col min="5898" max="5898" width="8.7265625" style="217" customWidth="1"/>
    <col min="5899" max="5899" width="8.1796875" style="217" customWidth="1"/>
    <col min="5900" max="5900" width="7.1796875" style="217" customWidth="1"/>
    <col min="5901" max="5901" width="16.54296875" style="217" bestFit="1" customWidth="1"/>
    <col min="5902" max="5902" width="18.54296875" style="217" customWidth="1"/>
    <col min="5903" max="6129" width="8.7265625" style="217" customWidth="1"/>
    <col min="6130" max="6130" width="39.7265625" style="217" customWidth="1"/>
    <col min="6131" max="6133" width="6.1796875" style="217" customWidth="1"/>
    <col min="6134" max="6134" width="8.453125" style="217" bestFit="1" customWidth="1"/>
    <col min="6135" max="6135" width="12.54296875" style="217" bestFit="1" customWidth="1"/>
    <col min="6136" max="6136" width="27.26953125" style="217" bestFit="1" customWidth="1"/>
    <col min="6137" max="6137" width="9.1796875" style="217" customWidth="1"/>
    <col min="6138" max="6138" width="14.7265625" style="217"/>
    <col min="6139" max="6139" width="32.81640625" style="217" customWidth="1"/>
    <col min="6140" max="6143" width="5.54296875" style="217" customWidth="1"/>
    <col min="6144" max="6144" width="7" style="217" customWidth="1"/>
    <col min="6145" max="6152" width="5.54296875" style="217" customWidth="1"/>
    <col min="6153" max="6153" width="55" style="217" customWidth="1"/>
    <col min="6154" max="6154" width="8.7265625" style="217" customWidth="1"/>
    <col min="6155" max="6155" width="8.1796875" style="217" customWidth="1"/>
    <col min="6156" max="6156" width="7.1796875" style="217" customWidth="1"/>
    <col min="6157" max="6157" width="16.54296875" style="217" bestFit="1" customWidth="1"/>
    <col min="6158" max="6158" width="18.54296875" style="217" customWidth="1"/>
    <col min="6159" max="6385" width="8.7265625" style="217" customWidth="1"/>
    <col min="6386" max="6386" width="39.7265625" style="217" customWidth="1"/>
    <col min="6387" max="6389" width="6.1796875" style="217" customWidth="1"/>
    <col min="6390" max="6390" width="8.453125" style="217" bestFit="1" customWidth="1"/>
    <col min="6391" max="6391" width="12.54296875" style="217" bestFit="1" customWidth="1"/>
    <col min="6392" max="6392" width="27.26953125" style="217" bestFit="1" customWidth="1"/>
    <col min="6393" max="6393" width="9.1796875" style="217" customWidth="1"/>
    <col min="6394" max="6394" width="14.7265625" style="217"/>
    <col min="6395" max="6395" width="32.81640625" style="217" customWidth="1"/>
    <col min="6396" max="6399" width="5.54296875" style="217" customWidth="1"/>
    <col min="6400" max="6400" width="7" style="217" customWidth="1"/>
    <col min="6401" max="6408" width="5.54296875" style="217" customWidth="1"/>
    <col min="6409" max="6409" width="55" style="217" customWidth="1"/>
    <col min="6410" max="6410" width="8.7265625" style="217" customWidth="1"/>
    <col min="6411" max="6411" width="8.1796875" style="217" customWidth="1"/>
    <col min="6412" max="6412" width="7.1796875" style="217" customWidth="1"/>
    <col min="6413" max="6413" width="16.54296875" style="217" bestFit="1" customWidth="1"/>
    <col min="6414" max="6414" width="18.54296875" style="217" customWidth="1"/>
    <col min="6415" max="6641" width="8.7265625" style="217" customWidth="1"/>
    <col min="6642" max="6642" width="39.7265625" style="217" customWidth="1"/>
    <col min="6643" max="6645" width="6.1796875" style="217" customWidth="1"/>
    <col min="6646" max="6646" width="8.453125" style="217" bestFit="1" customWidth="1"/>
    <col min="6647" max="6647" width="12.54296875" style="217" bestFit="1" customWidth="1"/>
    <col min="6648" max="6648" width="27.26953125" style="217" bestFit="1" customWidth="1"/>
    <col min="6649" max="6649" width="9.1796875" style="217" customWidth="1"/>
    <col min="6650" max="6650" width="14.7265625" style="217"/>
    <col min="6651" max="6651" width="32.81640625" style="217" customWidth="1"/>
    <col min="6652" max="6655" width="5.54296875" style="217" customWidth="1"/>
    <col min="6656" max="6656" width="7" style="217" customWidth="1"/>
    <col min="6657" max="6664" width="5.54296875" style="217" customWidth="1"/>
    <col min="6665" max="6665" width="55" style="217" customWidth="1"/>
    <col min="6666" max="6666" width="8.7265625" style="217" customWidth="1"/>
    <col min="6667" max="6667" width="8.1796875" style="217" customWidth="1"/>
    <col min="6668" max="6668" width="7.1796875" style="217" customWidth="1"/>
    <col min="6669" max="6669" width="16.54296875" style="217" bestFit="1" customWidth="1"/>
    <col min="6670" max="6670" width="18.54296875" style="217" customWidth="1"/>
    <col min="6671" max="6897" width="8.7265625" style="217" customWidth="1"/>
    <col min="6898" max="6898" width="39.7265625" style="217" customWidth="1"/>
    <col min="6899" max="6901" width="6.1796875" style="217" customWidth="1"/>
    <col min="6902" max="6902" width="8.453125" style="217" bestFit="1" customWidth="1"/>
    <col min="6903" max="6903" width="12.54296875" style="217" bestFit="1" customWidth="1"/>
    <col min="6904" max="6904" width="27.26953125" style="217" bestFit="1" customWidth="1"/>
    <col min="6905" max="6905" width="9.1796875" style="217" customWidth="1"/>
    <col min="6906" max="6906" width="14.7265625" style="217"/>
    <col min="6907" max="6907" width="32.81640625" style="217" customWidth="1"/>
    <col min="6908" max="6911" width="5.54296875" style="217" customWidth="1"/>
    <col min="6912" max="6912" width="7" style="217" customWidth="1"/>
    <col min="6913" max="6920" width="5.54296875" style="217" customWidth="1"/>
    <col min="6921" max="6921" width="55" style="217" customWidth="1"/>
    <col min="6922" max="6922" width="8.7265625" style="217" customWidth="1"/>
    <col min="6923" max="6923" width="8.1796875" style="217" customWidth="1"/>
    <col min="6924" max="6924" width="7.1796875" style="217" customWidth="1"/>
    <col min="6925" max="6925" width="16.54296875" style="217" bestFit="1" customWidth="1"/>
    <col min="6926" max="6926" width="18.54296875" style="217" customWidth="1"/>
    <col min="6927" max="7153" width="8.7265625" style="217" customWidth="1"/>
    <col min="7154" max="7154" width="39.7265625" style="217" customWidth="1"/>
    <col min="7155" max="7157" width="6.1796875" style="217" customWidth="1"/>
    <col min="7158" max="7158" width="8.453125" style="217" bestFit="1" customWidth="1"/>
    <col min="7159" max="7159" width="12.54296875" style="217" bestFit="1" customWidth="1"/>
    <col min="7160" max="7160" width="27.26953125" style="217" bestFit="1" customWidth="1"/>
    <col min="7161" max="7161" width="9.1796875" style="217" customWidth="1"/>
    <col min="7162" max="7162" width="14.7265625" style="217"/>
    <col min="7163" max="7163" width="32.81640625" style="217" customWidth="1"/>
    <col min="7164" max="7167" width="5.54296875" style="217" customWidth="1"/>
    <col min="7168" max="7168" width="7" style="217" customWidth="1"/>
    <col min="7169" max="7176" width="5.54296875" style="217" customWidth="1"/>
    <col min="7177" max="7177" width="55" style="217" customWidth="1"/>
    <col min="7178" max="7178" width="8.7265625" style="217" customWidth="1"/>
    <col min="7179" max="7179" width="8.1796875" style="217" customWidth="1"/>
    <col min="7180" max="7180" width="7.1796875" style="217" customWidth="1"/>
    <col min="7181" max="7181" width="16.54296875" style="217" bestFit="1" customWidth="1"/>
    <col min="7182" max="7182" width="18.54296875" style="217" customWidth="1"/>
    <col min="7183" max="7409" width="8.7265625" style="217" customWidth="1"/>
    <col min="7410" max="7410" width="39.7265625" style="217" customWidth="1"/>
    <col min="7411" max="7413" width="6.1796875" style="217" customWidth="1"/>
    <col min="7414" max="7414" width="8.453125" style="217" bestFit="1" customWidth="1"/>
    <col min="7415" max="7415" width="12.54296875" style="217" bestFit="1" customWidth="1"/>
    <col min="7416" max="7416" width="27.26953125" style="217" bestFit="1" customWidth="1"/>
    <col min="7417" max="7417" width="9.1796875" style="217" customWidth="1"/>
    <col min="7418" max="7418" width="14.7265625" style="217"/>
    <col min="7419" max="7419" width="32.81640625" style="217" customWidth="1"/>
    <col min="7420" max="7423" width="5.54296875" style="217" customWidth="1"/>
    <col min="7424" max="7424" width="7" style="217" customWidth="1"/>
    <col min="7425" max="7432" width="5.54296875" style="217" customWidth="1"/>
    <col min="7433" max="7433" width="55" style="217" customWidth="1"/>
    <col min="7434" max="7434" width="8.7265625" style="217" customWidth="1"/>
    <col min="7435" max="7435" width="8.1796875" style="217" customWidth="1"/>
    <col min="7436" max="7436" width="7.1796875" style="217" customWidth="1"/>
    <col min="7437" max="7437" width="16.54296875" style="217" bestFit="1" customWidth="1"/>
    <col min="7438" max="7438" width="18.54296875" style="217" customWidth="1"/>
    <col min="7439" max="7665" width="8.7265625" style="217" customWidth="1"/>
    <col min="7666" max="7666" width="39.7265625" style="217" customWidth="1"/>
    <col min="7667" max="7669" width="6.1796875" style="217" customWidth="1"/>
    <col min="7670" max="7670" width="8.453125" style="217" bestFit="1" customWidth="1"/>
    <col min="7671" max="7671" width="12.54296875" style="217" bestFit="1" customWidth="1"/>
    <col min="7672" max="7672" width="27.26953125" style="217" bestFit="1" customWidth="1"/>
    <col min="7673" max="7673" width="9.1796875" style="217" customWidth="1"/>
    <col min="7674" max="7674" width="14.7265625" style="217"/>
    <col min="7675" max="7675" width="32.81640625" style="217" customWidth="1"/>
    <col min="7676" max="7679" width="5.54296875" style="217" customWidth="1"/>
    <col min="7680" max="7680" width="7" style="217" customWidth="1"/>
    <col min="7681" max="7688" width="5.54296875" style="217" customWidth="1"/>
    <col min="7689" max="7689" width="55" style="217" customWidth="1"/>
    <col min="7690" max="7690" width="8.7265625" style="217" customWidth="1"/>
    <col min="7691" max="7691" width="8.1796875" style="217" customWidth="1"/>
    <col min="7692" max="7692" width="7.1796875" style="217" customWidth="1"/>
    <col min="7693" max="7693" width="16.54296875" style="217" bestFit="1" customWidth="1"/>
    <col min="7694" max="7694" width="18.54296875" style="217" customWidth="1"/>
    <col min="7695" max="7921" width="8.7265625" style="217" customWidth="1"/>
    <col min="7922" max="7922" width="39.7265625" style="217" customWidth="1"/>
    <col min="7923" max="7925" width="6.1796875" style="217" customWidth="1"/>
    <col min="7926" max="7926" width="8.453125" style="217" bestFit="1" customWidth="1"/>
    <col min="7927" max="7927" width="12.54296875" style="217" bestFit="1" customWidth="1"/>
    <col min="7928" max="7928" width="27.26953125" style="217" bestFit="1" customWidth="1"/>
    <col min="7929" max="7929" width="9.1796875" style="217" customWidth="1"/>
    <col min="7930" max="7930" width="14.7265625" style="217"/>
    <col min="7931" max="7931" width="32.81640625" style="217" customWidth="1"/>
    <col min="7932" max="7935" width="5.54296875" style="217" customWidth="1"/>
    <col min="7936" max="7936" width="7" style="217" customWidth="1"/>
    <col min="7937" max="7944" width="5.54296875" style="217" customWidth="1"/>
    <col min="7945" max="7945" width="55" style="217" customWidth="1"/>
    <col min="7946" max="7946" width="8.7265625" style="217" customWidth="1"/>
    <col min="7947" max="7947" width="8.1796875" style="217" customWidth="1"/>
    <col min="7948" max="7948" width="7.1796875" style="217" customWidth="1"/>
    <col min="7949" max="7949" width="16.54296875" style="217" bestFit="1" customWidth="1"/>
    <col min="7950" max="7950" width="18.54296875" style="217" customWidth="1"/>
    <col min="7951" max="8177" width="8.7265625" style="217" customWidth="1"/>
    <col min="8178" max="8178" width="39.7265625" style="217" customWidth="1"/>
    <col min="8179" max="8181" width="6.1796875" style="217" customWidth="1"/>
    <col min="8182" max="8182" width="8.453125" style="217" bestFit="1" customWidth="1"/>
    <col min="8183" max="8183" width="12.54296875" style="217" bestFit="1" customWidth="1"/>
    <col min="8184" max="8184" width="27.26953125" style="217" bestFit="1" customWidth="1"/>
    <col min="8185" max="8185" width="9.1796875" style="217" customWidth="1"/>
    <col min="8186" max="8186" width="14.7265625" style="217"/>
    <col min="8187" max="8187" width="32.81640625" style="217" customWidth="1"/>
    <col min="8188" max="8191" width="5.54296875" style="217" customWidth="1"/>
    <col min="8192" max="8192" width="7" style="217" customWidth="1"/>
    <col min="8193" max="8200" width="5.54296875" style="217" customWidth="1"/>
    <col min="8201" max="8201" width="55" style="217" customWidth="1"/>
    <col min="8202" max="8202" width="8.7265625" style="217" customWidth="1"/>
    <col min="8203" max="8203" width="8.1796875" style="217" customWidth="1"/>
    <col min="8204" max="8204" width="7.1796875" style="217" customWidth="1"/>
    <col min="8205" max="8205" width="16.54296875" style="217" bestFit="1" customWidth="1"/>
    <col min="8206" max="8206" width="18.54296875" style="217" customWidth="1"/>
    <col min="8207" max="8433" width="8.7265625" style="217" customWidth="1"/>
    <col min="8434" max="8434" width="39.7265625" style="217" customWidth="1"/>
    <col min="8435" max="8437" width="6.1796875" style="217" customWidth="1"/>
    <col min="8438" max="8438" width="8.453125" style="217" bestFit="1" customWidth="1"/>
    <col min="8439" max="8439" width="12.54296875" style="217" bestFit="1" customWidth="1"/>
    <col min="8440" max="8440" width="27.26953125" style="217" bestFit="1" customWidth="1"/>
    <col min="8441" max="8441" width="9.1796875" style="217" customWidth="1"/>
    <col min="8442" max="8442" width="14.7265625" style="217"/>
    <col min="8443" max="8443" width="32.81640625" style="217" customWidth="1"/>
    <col min="8444" max="8447" width="5.54296875" style="217" customWidth="1"/>
    <col min="8448" max="8448" width="7" style="217" customWidth="1"/>
    <col min="8449" max="8456" width="5.54296875" style="217" customWidth="1"/>
    <col min="8457" max="8457" width="55" style="217" customWidth="1"/>
    <col min="8458" max="8458" width="8.7265625" style="217" customWidth="1"/>
    <col min="8459" max="8459" width="8.1796875" style="217" customWidth="1"/>
    <col min="8460" max="8460" width="7.1796875" style="217" customWidth="1"/>
    <col min="8461" max="8461" width="16.54296875" style="217" bestFit="1" customWidth="1"/>
    <col min="8462" max="8462" width="18.54296875" style="217" customWidth="1"/>
    <col min="8463" max="8689" width="8.7265625" style="217" customWidth="1"/>
    <col min="8690" max="8690" width="39.7265625" style="217" customWidth="1"/>
    <col min="8691" max="8693" width="6.1796875" style="217" customWidth="1"/>
    <col min="8694" max="8694" width="8.453125" style="217" bestFit="1" customWidth="1"/>
    <col min="8695" max="8695" width="12.54296875" style="217" bestFit="1" customWidth="1"/>
    <col min="8696" max="8696" width="27.26953125" style="217" bestFit="1" customWidth="1"/>
    <col min="8697" max="8697" width="9.1796875" style="217" customWidth="1"/>
    <col min="8698" max="8698" width="14.7265625" style="217"/>
    <col min="8699" max="8699" width="32.81640625" style="217" customWidth="1"/>
    <col min="8700" max="8703" width="5.54296875" style="217" customWidth="1"/>
    <col min="8704" max="8704" width="7" style="217" customWidth="1"/>
    <col min="8705" max="8712" width="5.54296875" style="217" customWidth="1"/>
    <col min="8713" max="8713" width="55" style="217" customWidth="1"/>
    <col min="8714" max="8714" width="8.7265625" style="217" customWidth="1"/>
    <col min="8715" max="8715" width="8.1796875" style="217" customWidth="1"/>
    <col min="8716" max="8716" width="7.1796875" style="217" customWidth="1"/>
    <col min="8717" max="8717" width="16.54296875" style="217" bestFit="1" customWidth="1"/>
    <col min="8718" max="8718" width="18.54296875" style="217" customWidth="1"/>
    <col min="8719" max="8945" width="8.7265625" style="217" customWidth="1"/>
    <col min="8946" max="8946" width="39.7265625" style="217" customWidth="1"/>
    <col min="8947" max="8949" width="6.1796875" style="217" customWidth="1"/>
    <col min="8950" max="8950" width="8.453125" style="217" bestFit="1" customWidth="1"/>
    <col min="8951" max="8951" width="12.54296875" style="217" bestFit="1" customWidth="1"/>
    <col min="8952" max="8952" width="27.26953125" style="217" bestFit="1" customWidth="1"/>
    <col min="8953" max="8953" width="9.1796875" style="217" customWidth="1"/>
    <col min="8954" max="8954" width="14.7265625" style="217"/>
    <col min="8955" max="8955" width="32.81640625" style="217" customWidth="1"/>
    <col min="8956" max="8959" width="5.54296875" style="217" customWidth="1"/>
    <col min="8960" max="8960" width="7" style="217" customWidth="1"/>
    <col min="8961" max="8968" width="5.54296875" style="217" customWidth="1"/>
    <col min="8969" max="8969" width="55" style="217" customWidth="1"/>
    <col min="8970" max="8970" width="8.7265625" style="217" customWidth="1"/>
    <col min="8971" max="8971" width="8.1796875" style="217" customWidth="1"/>
    <col min="8972" max="8972" width="7.1796875" style="217" customWidth="1"/>
    <col min="8973" max="8973" width="16.54296875" style="217" bestFit="1" customWidth="1"/>
    <col min="8974" max="8974" width="18.54296875" style="217" customWidth="1"/>
    <col min="8975" max="9201" width="8.7265625" style="217" customWidth="1"/>
    <col min="9202" max="9202" width="39.7265625" style="217" customWidth="1"/>
    <col min="9203" max="9205" width="6.1796875" style="217" customWidth="1"/>
    <col min="9206" max="9206" width="8.453125" style="217" bestFit="1" customWidth="1"/>
    <col min="9207" max="9207" width="12.54296875" style="217" bestFit="1" customWidth="1"/>
    <col min="9208" max="9208" width="27.26953125" style="217" bestFit="1" customWidth="1"/>
    <col min="9209" max="9209" width="9.1796875" style="217" customWidth="1"/>
    <col min="9210" max="9210" width="14.7265625" style="217"/>
    <col min="9211" max="9211" width="32.81640625" style="217" customWidth="1"/>
    <col min="9212" max="9215" width="5.54296875" style="217" customWidth="1"/>
    <col min="9216" max="9216" width="7" style="217" customWidth="1"/>
    <col min="9217" max="9224" width="5.54296875" style="217" customWidth="1"/>
    <col min="9225" max="9225" width="55" style="217" customWidth="1"/>
    <col min="9226" max="9226" width="8.7265625" style="217" customWidth="1"/>
    <col min="9227" max="9227" width="8.1796875" style="217" customWidth="1"/>
    <col min="9228" max="9228" width="7.1796875" style="217" customWidth="1"/>
    <col min="9229" max="9229" width="16.54296875" style="217" bestFit="1" customWidth="1"/>
    <col min="9230" max="9230" width="18.54296875" style="217" customWidth="1"/>
    <col min="9231" max="9457" width="8.7265625" style="217" customWidth="1"/>
    <col min="9458" max="9458" width="39.7265625" style="217" customWidth="1"/>
    <col min="9459" max="9461" width="6.1796875" style="217" customWidth="1"/>
    <col min="9462" max="9462" width="8.453125" style="217" bestFit="1" customWidth="1"/>
    <col min="9463" max="9463" width="12.54296875" style="217" bestFit="1" customWidth="1"/>
    <col min="9464" max="9464" width="27.26953125" style="217" bestFit="1" customWidth="1"/>
    <col min="9465" max="9465" width="9.1796875" style="217" customWidth="1"/>
    <col min="9466" max="9466" width="14.7265625" style="217"/>
    <col min="9467" max="9467" width="32.81640625" style="217" customWidth="1"/>
    <col min="9468" max="9471" width="5.54296875" style="217" customWidth="1"/>
    <col min="9472" max="9472" width="7" style="217" customWidth="1"/>
    <col min="9473" max="9480" width="5.54296875" style="217" customWidth="1"/>
    <col min="9481" max="9481" width="55" style="217" customWidth="1"/>
    <col min="9482" max="9482" width="8.7265625" style="217" customWidth="1"/>
    <col min="9483" max="9483" width="8.1796875" style="217" customWidth="1"/>
    <col min="9484" max="9484" width="7.1796875" style="217" customWidth="1"/>
    <col min="9485" max="9485" width="16.54296875" style="217" bestFit="1" customWidth="1"/>
    <col min="9486" max="9486" width="18.54296875" style="217" customWidth="1"/>
    <col min="9487" max="9713" width="8.7265625" style="217" customWidth="1"/>
    <col min="9714" max="9714" width="39.7265625" style="217" customWidth="1"/>
    <col min="9715" max="9717" width="6.1796875" style="217" customWidth="1"/>
    <col min="9718" max="9718" width="8.453125" style="217" bestFit="1" customWidth="1"/>
    <col min="9719" max="9719" width="12.54296875" style="217" bestFit="1" customWidth="1"/>
    <col min="9720" max="9720" width="27.26953125" style="217" bestFit="1" customWidth="1"/>
    <col min="9721" max="9721" width="9.1796875" style="217" customWidth="1"/>
    <col min="9722" max="9722" width="14.7265625" style="217"/>
    <col min="9723" max="9723" width="32.81640625" style="217" customWidth="1"/>
    <col min="9724" max="9727" width="5.54296875" style="217" customWidth="1"/>
    <col min="9728" max="9728" width="7" style="217" customWidth="1"/>
    <col min="9729" max="9736" width="5.54296875" style="217" customWidth="1"/>
    <col min="9737" max="9737" width="55" style="217" customWidth="1"/>
    <col min="9738" max="9738" width="8.7265625" style="217" customWidth="1"/>
    <col min="9739" max="9739" width="8.1796875" style="217" customWidth="1"/>
    <col min="9740" max="9740" width="7.1796875" style="217" customWidth="1"/>
    <col min="9741" max="9741" width="16.54296875" style="217" bestFit="1" customWidth="1"/>
    <col min="9742" max="9742" width="18.54296875" style="217" customWidth="1"/>
    <col min="9743" max="9969" width="8.7265625" style="217" customWidth="1"/>
    <col min="9970" max="9970" width="39.7265625" style="217" customWidth="1"/>
    <col min="9971" max="9973" width="6.1796875" style="217" customWidth="1"/>
    <col min="9974" max="9974" width="8.453125" style="217" bestFit="1" customWidth="1"/>
    <col min="9975" max="9975" width="12.54296875" style="217" bestFit="1" customWidth="1"/>
    <col min="9976" max="9976" width="27.26953125" style="217" bestFit="1" customWidth="1"/>
    <col min="9977" max="9977" width="9.1796875" style="217" customWidth="1"/>
    <col min="9978" max="9978" width="14.7265625" style="217"/>
    <col min="9979" max="9979" width="32.81640625" style="217" customWidth="1"/>
    <col min="9980" max="9983" width="5.54296875" style="217" customWidth="1"/>
    <col min="9984" max="9984" width="7" style="217" customWidth="1"/>
    <col min="9985" max="9992" width="5.54296875" style="217" customWidth="1"/>
    <col min="9993" max="9993" width="55" style="217" customWidth="1"/>
    <col min="9994" max="9994" width="8.7265625" style="217" customWidth="1"/>
    <col min="9995" max="9995" width="8.1796875" style="217" customWidth="1"/>
    <col min="9996" max="9996" width="7.1796875" style="217" customWidth="1"/>
    <col min="9997" max="9997" width="16.54296875" style="217" bestFit="1" customWidth="1"/>
    <col min="9998" max="9998" width="18.54296875" style="217" customWidth="1"/>
    <col min="9999" max="10225" width="8.7265625" style="217" customWidth="1"/>
    <col min="10226" max="10226" width="39.7265625" style="217" customWidth="1"/>
    <col min="10227" max="10229" width="6.1796875" style="217" customWidth="1"/>
    <col min="10230" max="10230" width="8.453125" style="217" bestFit="1" customWidth="1"/>
    <col min="10231" max="10231" width="12.54296875" style="217" bestFit="1" customWidth="1"/>
    <col min="10232" max="10232" width="27.26953125" style="217" bestFit="1" customWidth="1"/>
    <col min="10233" max="10233" width="9.1796875" style="217" customWidth="1"/>
    <col min="10234" max="10234" width="14.7265625" style="217"/>
    <col min="10235" max="10235" width="32.81640625" style="217" customWidth="1"/>
    <col min="10236" max="10239" width="5.54296875" style="217" customWidth="1"/>
    <col min="10240" max="10240" width="7" style="217" customWidth="1"/>
    <col min="10241" max="10248" width="5.54296875" style="217" customWidth="1"/>
    <col min="10249" max="10249" width="55" style="217" customWidth="1"/>
    <col min="10250" max="10250" width="8.7265625" style="217" customWidth="1"/>
    <col min="10251" max="10251" width="8.1796875" style="217" customWidth="1"/>
    <col min="10252" max="10252" width="7.1796875" style="217" customWidth="1"/>
    <col min="10253" max="10253" width="16.54296875" style="217" bestFit="1" customWidth="1"/>
    <col min="10254" max="10254" width="18.54296875" style="217" customWidth="1"/>
    <col min="10255" max="10481" width="8.7265625" style="217" customWidth="1"/>
    <col min="10482" max="10482" width="39.7265625" style="217" customWidth="1"/>
    <col min="10483" max="10485" width="6.1796875" style="217" customWidth="1"/>
    <col min="10486" max="10486" width="8.453125" style="217" bestFit="1" customWidth="1"/>
    <col min="10487" max="10487" width="12.54296875" style="217" bestFit="1" customWidth="1"/>
    <col min="10488" max="10488" width="27.26953125" style="217" bestFit="1" customWidth="1"/>
    <col min="10489" max="10489" width="9.1796875" style="217" customWidth="1"/>
    <col min="10490" max="10490" width="14.7265625" style="217"/>
    <col min="10491" max="10491" width="32.81640625" style="217" customWidth="1"/>
    <col min="10492" max="10495" width="5.54296875" style="217" customWidth="1"/>
    <col min="10496" max="10496" width="7" style="217" customWidth="1"/>
    <col min="10497" max="10504" width="5.54296875" style="217" customWidth="1"/>
    <col min="10505" max="10505" width="55" style="217" customWidth="1"/>
    <col min="10506" max="10506" width="8.7265625" style="217" customWidth="1"/>
    <col min="10507" max="10507" width="8.1796875" style="217" customWidth="1"/>
    <col min="10508" max="10508" width="7.1796875" style="217" customWidth="1"/>
    <col min="10509" max="10509" width="16.54296875" style="217" bestFit="1" customWidth="1"/>
    <col min="10510" max="10510" width="18.54296875" style="217" customWidth="1"/>
    <col min="10511" max="10737" width="8.7265625" style="217" customWidth="1"/>
    <col min="10738" max="10738" width="39.7265625" style="217" customWidth="1"/>
    <col min="10739" max="10741" width="6.1796875" style="217" customWidth="1"/>
    <col min="10742" max="10742" width="8.453125" style="217" bestFit="1" customWidth="1"/>
    <col min="10743" max="10743" width="12.54296875" style="217" bestFit="1" customWidth="1"/>
    <col min="10744" max="10744" width="27.26953125" style="217" bestFit="1" customWidth="1"/>
    <col min="10745" max="10745" width="9.1796875" style="217" customWidth="1"/>
    <col min="10746" max="10746" width="14.7265625" style="217"/>
    <col min="10747" max="10747" width="32.81640625" style="217" customWidth="1"/>
    <col min="10748" max="10751" width="5.54296875" style="217" customWidth="1"/>
    <col min="10752" max="10752" width="7" style="217" customWidth="1"/>
    <col min="10753" max="10760" width="5.54296875" style="217" customWidth="1"/>
    <col min="10761" max="10761" width="55" style="217" customWidth="1"/>
    <col min="10762" max="10762" width="8.7265625" style="217" customWidth="1"/>
    <col min="10763" max="10763" width="8.1796875" style="217" customWidth="1"/>
    <col min="10764" max="10764" width="7.1796875" style="217" customWidth="1"/>
    <col min="10765" max="10765" width="16.54296875" style="217" bestFit="1" customWidth="1"/>
    <col min="10766" max="10766" width="18.54296875" style="217" customWidth="1"/>
    <col min="10767" max="10993" width="8.7265625" style="217" customWidth="1"/>
    <col min="10994" max="10994" width="39.7265625" style="217" customWidth="1"/>
    <col min="10995" max="10997" width="6.1796875" style="217" customWidth="1"/>
    <col min="10998" max="10998" width="8.453125" style="217" bestFit="1" customWidth="1"/>
    <col min="10999" max="10999" width="12.54296875" style="217" bestFit="1" customWidth="1"/>
    <col min="11000" max="11000" width="27.26953125" style="217" bestFit="1" customWidth="1"/>
    <col min="11001" max="11001" width="9.1796875" style="217" customWidth="1"/>
    <col min="11002" max="11002" width="14.7265625" style="217"/>
    <col min="11003" max="11003" width="32.81640625" style="217" customWidth="1"/>
    <col min="11004" max="11007" width="5.54296875" style="217" customWidth="1"/>
    <col min="11008" max="11008" width="7" style="217" customWidth="1"/>
    <col min="11009" max="11016" width="5.54296875" style="217" customWidth="1"/>
    <col min="11017" max="11017" width="55" style="217" customWidth="1"/>
    <col min="11018" max="11018" width="8.7265625" style="217" customWidth="1"/>
    <col min="11019" max="11019" width="8.1796875" style="217" customWidth="1"/>
    <col min="11020" max="11020" width="7.1796875" style="217" customWidth="1"/>
    <col min="11021" max="11021" width="16.54296875" style="217" bestFit="1" customWidth="1"/>
    <col min="11022" max="11022" width="18.54296875" style="217" customWidth="1"/>
    <col min="11023" max="11249" width="8.7265625" style="217" customWidth="1"/>
    <col min="11250" max="11250" width="39.7265625" style="217" customWidth="1"/>
    <col min="11251" max="11253" width="6.1796875" style="217" customWidth="1"/>
    <col min="11254" max="11254" width="8.453125" style="217" bestFit="1" customWidth="1"/>
    <col min="11255" max="11255" width="12.54296875" style="217" bestFit="1" customWidth="1"/>
    <col min="11256" max="11256" width="27.26953125" style="217" bestFit="1" customWidth="1"/>
    <col min="11257" max="11257" width="9.1796875" style="217" customWidth="1"/>
    <col min="11258" max="11258" width="14.7265625" style="217"/>
    <col min="11259" max="11259" width="32.81640625" style="217" customWidth="1"/>
    <col min="11260" max="11263" width="5.54296875" style="217" customWidth="1"/>
    <col min="11264" max="11264" width="7" style="217" customWidth="1"/>
    <col min="11265" max="11272" width="5.54296875" style="217" customWidth="1"/>
    <col min="11273" max="11273" width="55" style="217" customWidth="1"/>
    <col min="11274" max="11274" width="8.7265625" style="217" customWidth="1"/>
    <col min="11275" max="11275" width="8.1796875" style="217" customWidth="1"/>
    <col min="11276" max="11276" width="7.1796875" style="217" customWidth="1"/>
    <col min="11277" max="11277" width="16.54296875" style="217" bestFit="1" customWidth="1"/>
    <col min="11278" max="11278" width="18.54296875" style="217" customWidth="1"/>
    <col min="11279" max="11505" width="8.7265625" style="217" customWidth="1"/>
    <col min="11506" max="11506" width="39.7265625" style="217" customWidth="1"/>
    <col min="11507" max="11509" width="6.1796875" style="217" customWidth="1"/>
    <col min="11510" max="11510" width="8.453125" style="217" bestFit="1" customWidth="1"/>
    <col min="11511" max="11511" width="12.54296875" style="217" bestFit="1" customWidth="1"/>
    <col min="11512" max="11512" width="27.26953125" style="217" bestFit="1" customWidth="1"/>
    <col min="11513" max="11513" width="9.1796875" style="217" customWidth="1"/>
    <col min="11514" max="11514" width="14.7265625" style="217"/>
    <col min="11515" max="11515" width="32.81640625" style="217" customWidth="1"/>
    <col min="11516" max="11519" width="5.54296875" style="217" customWidth="1"/>
    <col min="11520" max="11520" width="7" style="217" customWidth="1"/>
    <col min="11521" max="11528" width="5.54296875" style="217" customWidth="1"/>
    <col min="11529" max="11529" width="55" style="217" customWidth="1"/>
    <col min="11530" max="11530" width="8.7265625" style="217" customWidth="1"/>
    <col min="11531" max="11531" width="8.1796875" style="217" customWidth="1"/>
    <col min="11532" max="11532" width="7.1796875" style="217" customWidth="1"/>
    <col min="11533" max="11533" width="16.54296875" style="217" bestFit="1" customWidth="1"/>
    <col min="11534" max="11534" width="18.54296875" style="217" customWidth="1"/>
    <col min="11535" max="11761" width="8.7265625" style="217" customWidth="1"/>
    <col min="11762" max="11762" width="39.7265625" style="217" customWidth="1"/>
    <col min="11763" max="11765" width="6.1796875" style="217" customWidth="1"/>
    <col min="11766" max="11766" width="8.453125" style="217" bestFit="1" customWidth="1"/>
    <col min="11767" max="11767" width="12.54296875" style="217" bestFit="1" customWidth="1"/>
    <col min="11768" max="11768" width="27.26953125" style="217" bestFit="1" customWidth="1"/>
    <col min="11769" max="11769" width="9.1796875" style="217" customWidth="1"/>
    <col min="11770" max="11770" width="14.7265625" style="217"/>
    <col min="11771" max="11771" width="32.81640625" style="217" customWidth="1"/>
    <col min="11772" max="11775" width="5.54296875" style="217" customWidth="1"/>
    <col min="11776" max="11776" width="7" style="217" customWidth="1"/>
    <col min="11777" max="11784" width="5.54296875" style="217" customWidth="1"/>
    <col min="11785" max="11785" width="55" style="217" customWidth="1"/>
    <col min="11786" max="11786" width="8.7265625" style="217" customWidth="1"/>
    <col min="11787" max="11787" width="8.1796875" style="217" customWidth="1"/>
    <col min="11788" max="11788" width="7.1796875" style="217" customWidth="1"/>
    <col min="11789" max="11789" width="16.54296875" style="217" bestFit="1" customWidth="1"/>
    <col min="11790" max="11790" width="18.54296875" style="217" customWidth="1"/>
    <col min="11791" max="12017" width="8.7265625" style="217" customWidth="1"/>
    <col min="12018" max="12018" width="39.7265625" style="217" customWidth="1"/>
    <col min="12019" max="12021" width="6.1796875" style="217" customWidth="1"/>
    <col min="12022" max="12022" width="8.453125" style="217" bestFit="1" customWidth="1"/>
    <col min="12023" max="12023" width="12.54296875" style="217" bestFit="1" customWidth="1"/>
    <col min="12024" max="12024" width="27.26953125" style="217" bestFit="1" customWidth="1"/>
    <col min="12025" max="12025" width="9.1796875" style="217" customWidth="1"/>
    <col min="12026" max="12026" width="14.7265625" style="217"/>
    <col min="12027" max="12027" width="32.81640625" style="217" customWidth="1"/>
    <col min="12028" max="12031" width="5.54296875" style="217" customWidth="1"/>
    <col min="12032" max="12032" width="7" style="217" customWidth="1"/>
    <col min="12033" max="12040" width="5.54296875" style="217" customWidth="1"/>
    <col min="12041" max="12041" width="55" style="217" customWidth="1"/>
    <col min="12042" max="12042" width="8.7265625" style="217" customWidth="1"/>
    <col min="12043" max="12043" width="8.1796875" style="217" customWidth="1"/>
    <col min="12044" max="12044" width="7.1796875" style="217" customWidth="1"/>
    <col min="12045" max="12045" width="16.54296875" style="217" bestFit="1" customWidth="1"/>
    <col min="12046" max="12046" width="18.54296875" style="217" customWidth="1"/>
    <col min="12047" max="12273" width="8.7265625" style="217" customWidth="1"/>
    <col min="12274" max="12274" width="39.7265625" style="217" customWidth="1"/>
    <col min="12275" max="12277" width="6.1796875" style="217" customWidth="1"/>
    <col min="12278" max="12278" width="8.453125" style="217" bestFit="1" customWidth="1"/>
    <col min="12279" max="12279" width="12.54296875" style="217" bestFit="1" customWidth="1"/>
    <col min="12280" max="12280" width="27.26953125" style="217" bestFit="1" customWidth="1"/>
    <col min="12281" max="12281" width="9.1796875" style="217" customWidth="1"/>
    <col min="12282" max="12282" width="14.7265625" style="217"/>
    <col min="12283" max="12283" width="32.81640625" style="217" customWidth="1"/>
    <col min="12284" max="12287" width="5.54296875" style="217" customWidth="1"/>
    <col min="12288" max="12288" width="7" style="217" customWidth="1"/>
    <col min="12289" max="12296" width="5.54296875" style="217" customWidth="1"/>
    <col min="12297" max="12297" width="55" style="217" customWidth="1"/>
    <col min="12298" max="12298" width="8.7265625" style="217" customWidth="1"/>
    <col min="12299" max="12299" width="8.1796875" style="217" customWidth="1"/>
    <col min="12300" max="12300" width="7.1796875" style="217" customWidth="1"/>
    <col min="12301" max="12301" width="16.54296875" style="217" bestFit="1" customWidth="1"/>
    <col min="12302" max="12302" width="18.54296875" style="217" customWidth="1"/>
    <col min="12303" max="12529" width="8.7265625" style="217" customWidth="1"/>
    <col min="12530" max="12530" width="39.7265625" style="217" customWidth="1"/>
    <col min="12531" max="12533" width="6.1796875" style="217" customWidth="1"/>
    <col min="12534" max="12534" width="8.453125" style="217" bestFit="1" customWidth="1"/>
    <col min="12535" max="12535" width="12.54296875" style="217" bestFit="1" customWidth="1"/>
    <col min="12536" max="12536" width="27.26953125" style="217" bestFit="1" customWidth="1"/>
    <col min="12537" max="12537" width="9.1796875" style="217" customWidth="1"/>
    <col min="12538" max="12538" width="14.7265625" style="217"/>
    <col min="12539" max="12539" width="32.81640625" style="217" customWidth="1"/>
    <col min="12540" max="12543" width="5.54296875" style="217" customWidth="1"/>
    <col min="12544" max="12544" width="7" style="217" customWidth="1"/>
    <col min="12545" max="12552" width="5.54296875" style="217" customWidth="1"/>
    <col min="12553" max="12553" width="55" style="217" customWidth="1"/>
    <col min="12554" max="12554" width="8.7265625" style="217" customWidth="1"/>
    <col min="12555" max="12555" width="8.1796875" style="217" customWidth="1"/>
    <col min="12556" max="12556" width="7.1796875" style="217" customWidth="1"/>
    <col min="12557" max="12557" width="16.54296875" style="217" bestFit="1" customWidth="1"/>
    <col min="12558" max="12558" width="18.54296875" style="217" customWidth="1"/>
    <col min="12559" max="12785" width="8.7265625" style="217" customWidth="1"/>
    <col min="12786" max="12786" width="39.7265625" style="217" customWidth="1"/>
    <col min="12787" max="12789" width="6.1796875" style="217" customWidth="1"/>
    <col min="12790" max="12790" width="8.453125" style="217" bestFit="1" customWidth="1"/>
    <col min="12791" max="12791" width="12.54296875" style="217" bestFit="1" customWidth="1"/>
    <col min="12792" max="12792" width="27.26953125" style="217" bestFit="1" customWidth="1"/>
    <col min="12793" max="12793" width="9.1796875" style="217" customWidth="1"/>
    <col min="12794" max="12794" width="14.7265625" style="217"/>
    <col min="12795" max="12795" width="32.81640625" style="217" customWidth="1"/>
    <col min="12796" max="12799" width="5.54296875" style="217" customWidth="1"/>
    <col min="12800" max="12800" width="7" style="217" customWidth="1"/>
    <col min="12801" max="12808" width="5.54296875" style="217" customWidth="1"/>
    <col min="12809" max="12809" width="55" style="217" customWidth="1"/>
    <col min="12810" max="12810" width="8.7265625" style="217" customWidth="1"/>
    <col min="12811" max="12811" width="8.1796875" style="217" customWidth="1"/>
    <col min="12812" max="12812" width="7.1796875" style="217" customWidth="1"/>
    <col min="12813" max="12813" width="16.54296875" style="217" bestFit="1" customWidth="1"/>
    <col min="12814" max="12814" width="18.54296875" style="217" customWidth="1"/>
    <col min="12815" max="13041" width="8.7265625" style="217" customWidth="1"/>
    <col min="13042" max="13042" width="39.7265625" style="217" customWidth="1"/>
    <col min="13043" max="13045" width="6.1796875" style="217" customWidth="1"/>
    <col min="13046" max="13046" width="8.453125" style="217" bestFit="1" customWidth="1"/>
    <col min="13047" max="13047" width="12.54296875" style="217" bestFit="1" customWidth="1"/>
    <col min="13048" max="13048" width="27.26953125" style="217" bestFit="1" customWidth="1"/>
    <col min="13049" max="13049" width="9.1796875" style="217" customWidth="1"/>
    <col min="13050" max="13050" width="14.7265625" style="217"/>
    <col min="13051" max="13051" width="32.81640625" style="217" customWidth="1"/>
    <col min="13052" max="13055" width="5.54296875" style="217" customWidth="1"/>
    <col min="13056" max="13056" width="7" style="217" customWidth="1"/>
    <col min="13057" max="13064" width="5.54296875" style="217" customWidth="1"/>
    <col min="13065" max="13065" width="55" style="217" customWidth="1"/>
    <col min="13066" max="13066" width="8.7265625" style="217" customWidth="1"/>
    <col min="13067" max="13067" width="8.1796875" style="217" customWidth="1"/>
    <col min="13068" max="13068" width="7.1796875" style="217" customWidth="1"/>
    <col min="13069" max="13069" width="16.54296875" style="217" bestFit="1" customWidth="1"/>
    <col min="13070" max="13070" width="18.54296875" style="217" customWidth="1"/>
    <col min="13071" max="13297" width="8.7265625" style="217" customWidth="1"/>
    <col min="13298" max="13298" width="39.7265625" style="217" customWidth="1"/>
    <col min="13299" max="13301" width="6.1796875" style="217" customWidth="1"/>
    <col min="13302" max="13302" width="8.453125" style="217" bestFit="1" customWidth="1"/>
    <col min="13303" max="13303" width="12.54296875" style="217" bestFit="1" customWidth="1"/>
    <col min="13304" max="13304" width="27.26953125" style="217" bestFit="1" customWidth="1"/>
    <col min="13305" max="13305" width="9.1796875" style="217" customWidth="1"/>
    <col min="13306" max="13306" width="14.7265625" style="217"/>
    <col min="13307" max="13307" width="32.81640625" style="217" customWidth="1"/>
    <col min="13308" max="13311" width="5.54296875" style="217" customWidth="1"/>
    <col min="13312" max="13312" width="7" style="217" customWidth="1"/>
    <col min="13313" max="13320" width="5.54296875" style="217" customWidth="1"/>
    <col min="13321" max="13321" width="55" style="217" customWidth="1"/>
    <col min="13322" max="13322" width="8.7265625" style="217" customWidth="1"/>
    <col min="13323" max="13323" width="8.1796875" style="217" customWidth="1"/>
    <col min="13324" max="13324" width="7.1796875" style="217" customWidth="1"/>
    <col min="13325" max="13325" width="16.54296875" style="217" bestFit="1" customWidth="1"/>
    <col min="13326" max="13326" width="18.54296875" style="217" customWidth="1"/>
    <col min="13327" max="13553" width="8.7265625" style="217" customWidth="1"/>
    <col min="13554" max="13554" width="39.7265625" style="217" customWidth="1"/>
    <col min="13555" max="13557" width="6.1796875" style="217" customWidth="1"/>
    <col min="13558" max="13558" width="8.453125" style="217" bestFit="1" customWidth="1"/>
    <col min="13559" max="13559" width="12.54296875" style="217" bestFit="1" customWidth="1"/>
    <col min="13560" max="13560" width="27.26953125" style="217" bestFit="1" customWidth="1"/>
    <col min="13561" max="13561" width="9.1796875" style="217" customWidth="1"/>
    <col min="13562" max="13562" width="14.7265625" style="217"/>
    <col min="13563" max="13563" width="32.81640625" style="217" customWidth="1"/>
    <col min="13564" max="13567" width="5.54296875" style="217" customWidth="1"/>
    <col min="13568" max="13568" width="7" style="217" customWidth="1"/>
    <col min="13569" max="13576" width="5.54296875" style="217" customWidth="1"/>
    <col min="13577" max="13577" width="55" style="217" customWidth="1"/>
    <col min="13578" max="13578" width="8.7265625" style="217" customWidth="1"/>
    <col min="13579" max="13579" width="8.1796875" style="217" customWidth="1"/>
    <col min="13580" max="13580" width="7.1796875" style="217" customWidth="1"/>
    <col min="13581" max="13581" width="16.54296875" style="217" bestFit="1" customWidth="1"/>
    <col min="13582" max="13582" width="18.54296875" style="217" customWidth="1"/>
    <col min="13583" max="13809" width="8.7265625" style="217" customWidth="1"/>
    <col min="13810" max="13810" width="39.7265625" style="217" customWidth="1"/>
    <col min="13811" max="13813" width="6.1796875" style="217" customWidth="1"/>
    <col min="13814" max="13814" width="8.453125" style="217" bestFit="1" customWidth="1"/>
    <col min="13815" max="13815" width="12.54296875" style="217" bestFit="1" customWidth="1"/>
    <col min="13816" max="13816" width="27.26953125" style="217" bestFit="1" customWidth="1"/>
    <col min="13817" max="13817" width="9.1796875" style="217" customWidth="1"/>
    <col min="13818" max="13818" width="14.7265625" style="217"/>
    <col min="13819" max="13819" width="32.81640625" style="217" customWidth="1"/>
    <col min="13820" max="13823" width="5.54296875" style="217" customWidth="1"/>
    <col min="13824" max="13824" width="7" style="217" customWidth="1"/>
    <col min="13825" max="13832" width="5.54296875" style="217" customWidth="1"/>
    <col min="13833" max="13833" width="55" style="217" customWidth="1"/>
    <col min="13834" max="13834" width="8.7265625" style="217" customWidth="1"/>
    <col min="13835" max="13835" width="8.1796875" style="217" customWidth="1"/>
    <col min="13836" max="13836" width="7.1796875" style="217" customWidth="1"/>
    <col min="13837" max="13837" width="16.54296875" style="217" bestFit="1" customWidth="1"/>
    <col min="13838" max="13838" width="18.54296875" style="217" customWidth="1"/>
    <col min="13839" max="14065" width="8.7265625" style="217" customWidth="1"/>
    <col min="14066" max="14066" width="39.7265625" style="217" customWidth="1"/>
    <col min="14067" max="14069" width="6.1796875" style="217" customWidth="1"/>
    <col min="14070" max="14070" width="8.453125" style="217" bestFit="1" customWidth="1"/>
    <col min="14071" max="14071" width="12.54296875" style="217" bestFit="1" customWidth="1"/>
    <col min="14072" max="14072" width="27.26953125" style="217" bestFit="1" customWidth="1"/>
    <col min="14073" max="14073" width="9.1796875" style="217" customWidth="1"/>
    <col min="14074" max="14074" width="14.7265625" style="217"/>
    <col min="14075" max="14075" width="32.81640625" style="217" customWidth="1"/>
    <col min="14076" max="14079" width="5.54296875" style="217" customWidth="1"/>
    <col min="14080" max="14080" width="7" style="217" customWidth="1"/>
    <col min="14081" max="14088" width="5.54296875" style="217" customWidth="1"/>
    <col min="14089" max="14089" width="55" style="217" customWidth="1"/>
    <col min="14090" max="14090" width="8.7265625" style="217" customWidth="1"/>
    <col min="14091" max="14091" width="8.1796875" style="217" customWidth="1"/>
    <col min="14092" max="14092" width="7.1796875" style="217" customWidth="1"/>
    <col min="14093" max="14093" width="16.54296875" style="217" bestFit="1" customWidth="1"/>
    <col min="14094" max="14094" width="18.54296875" style="217" customWidth="1"/>
    <col min="14095" max="14321" width="8.7265625" style="217" customWidth="1"/>
    <col min="14322" max="14322" width="39.7265625" style="217" customWidth="1"/>
    <col min="14323" max="14325" width="6.1796875" style="217" customWidth="1"/>
    <col min="14326" max="14326" width="8.453125" style="217" bestFit="1" customWidth="1"/>
    <col min="14327" max="14327" width="12.54296875" style="217" bestFit="1" customWidth="1"/>
    <col min="14328" max="14328" width="27.26953125" style="217" bestFit="1" customWidth="1"/>
    <col min="14329" max="14329" width="9.1796875" style="217" customWidth="1"/>
    <col min="14330" max="14330" width="14.7265625" style="217"/>
    <col min="14331" max="14331" width="32.81640625" style="217" customWidth="1"/>
    <col min="14332" max="14335" width="5.54296875" style="217" customWidth="1"/>
    <col min="14336" max="14336" width="7" style="217" customWidth="1"/>
    <col min="14337" max="14344" width="5.54296875" style="217" customWidth="1"/>
    <col min="14345" max="14345" width="55" style="217" customWidth="1"/>
    <col min="14346" max="14346" width="8.7265625" style="217" customWidth="1"/>
    <col min="14347" max="14347" width="8.1796875" style="217" customWidth="1"/>
    <col min="14348" max="14348" width="7.1796875" style="217" customWidth="1"/>
    <col min="14349" max="14349" width="16.54296875" style="217" bestFit="1" customWidth="1"/>
    <col min="14350" max="14350" width="18.54296875" style="217" customWidth="1"/>
    <col min="14351" max="14577" width="8.7265625" style="217" customWidth="1"/>
    <col min="14578" max="14578" width="39.7265625" style="217" customWidth="1"/>
    <col min="14579" max="14581" width="6.1796875" style="217" customWidth="1"/>
    <col min="14582" max="14582" width="8.453125" style="217" bestFit="1" customWidth="1"/>
    <col min="14583" max="14583" width="12.54296875" style="217" bestFit="1" customWidth="1"/>
    <col min="14584" max="14584" width="27.26953125" style="217" bestFit="1" customWidth="1"/>
    <col min="14585" max="14585" width="9.1796875" style="217" customWidth="1"/>
    <col min="14586" max="14586" width="14.7265625" style="217"/>
    <col min="14587" max="14587" width="32.81640625" style="217" customWidth="1"/>
    <col min="14588" max="14591" width="5.54296875" style="217" customWidth="1"/>
    <col min="14592" max="14592" width="7" style="217" customWidth="1"/>
    <col min="14593" max="14600" width="5.54296875" style="217" customWidth="1"/>
    <col min="14601" max="14601" width="55" style="217" customWidth="1"/>
    <col min="14602" max="14602" width="8.7265625" style="217" customWidth="1"/>
    <col min="14603" max="14603" width="8.1796875" style="217" customWidth="1"/>
    <col min="14604" max="14604" width="7.1796875" style="217" customWidth="1"/>
    <col min="14605" max="14605" width="16.54296875" style="217" bestFit="1" customWidth="1"/>
    <col min="14606" max="14606" width="18.54296875" style="217" customWidth="1"/>
    <col min="14607" max="14833" width="8.7265625" style="217" customWidth="1"/>
    <col min="14834" max="14834" width="39.7265625" style="217" customWidth="1"/>
    <col min="14835" max="14837" width="6.1796875" style="217" customWidth="1"/>
    <col min="14838" max="14838" width="8.453125" style="217" bestFit="1" customWidth="1"/>
    <col min="14839" max="14839" width="12.54296875" style="217" bestFit="1" customWidth="1"/>
    <col min="14840" max="14840" width="27.26953125" style="217" bestFit="1" customWidth="1"/>
    <col min="14841" max="14841" width="9.1796875" style="217" customWidth="1"/>
    <col min="14842" max="14842" width="14.7265625" style="217"/>
    <col min="14843" max="14843" width="32.81640625" style="217" customWidth="1"/>
    <col min="14844" max="14847" width="5.54296875" style="217" customWidth="1"/>
    <col min="14848" max="14848" width="7" style="217" customWidth="1"/>
    <col min="14849" max="14856" width="5.54296875" style="217" customWidth="1"/>
    <col min="14857" max="14857" width="55" style="217" customWidth="1"/>
    <col min="14858" max="14858" width="8.7265625" style="217" customWidth="1"/>
    <col min="14859" max="14859" width="8.1796875" style="217" customWidth="1"/>
    <col min="14860" max="14860" width="7.1796875" style="217" customWidth="1"/>
    <col min="14861" max="14861" width="16.54296875" style="217" bestFit="1" customWidth="1"/>
    <col min="14862" max="14862" width="18.54296875" style="217" customWidth="1"/>
    <col min="14863" max="15089" width="8.7265625" style="217" customWidth="1"/>
    <col min="15090" max="15090" width="39.7265625" style="217" customWidth="1"/>
    <col min="15091" max="15093" width="6.1796875" style="217" customWidth="1"/>
    <col min="15094" max="15094" width="8.453125" style="217" bestFit="1" customWidth="1"/>
    <col min="15095" max="15095" width="12.54296875" style="217" bestFit="1" customWidth="1"/>
    <col min="15096" max="15096" width="27.26953125" style="217" bestFit="1" customWidth="1"/>
    <col min="15097" max="15097" width="9.1796875" style="217" customWidth="1"/>
    <col min="15098" max="15098" width="14.7265625" style="217"/>
    <col min="15099" max="15099" width="32.81640625" style="217" customWidth="1"/>
    <col min="15100" max="15103" width="5.54296875" style="217" customWidth="1"/>
    <col min="15104" max="15104" width="7" style="217" customWidth="1"/>
    <col min="15105" max="15112" width="5.54296875" style="217" customWidth="1"/>
    <col min="15113" max="15113" width="55" style="217" customWidth="1"/>
    <col min="15114" max="15114" width="8.7265625" style="217" customWidth="1"/>
    <col min="15115" max="15115" width="8.1796875" style="217" customWidth="1"/>
    <col min="15116" max="15116" width="7.1796875" style="217" customWidth="1"/>
    <col min="15117" max="15117" width="16.54296875" style="217" bestFit="1" customWidth="1"/>
    <col min="15118" max="15118" width="18.54296875" style="217" customWidth="1"/>
    <col min="15119" max="15345" width="8.7265625" style="217" customWidth="1"/>
    <col min="15346" max="15346" width="39.7265625" style="217" customWidth="1"/>
    <col min="15347" max="15349" width="6.1796875" style="217" customWidth="1"/>
    <col min="15350" max="15350" width="8.453125" style="217" bestFit="1" customWidth="1"/>
    <col min="15351" max="15351" width="12.54296875" style="217" bestFit="1" customWidth="1"/>
    <col min="15352" max="15352" width="27.26953125" style="217" bestFit="1" customWidth="1"/>
    <col min="15353" max="15353" width="9.1796875" style="217" customWidth="1"/>
    <col min="15354" max="15354" width="14.7265625" style="217"/>
    <col min="15355" max="15355" width="32.81640625" style="217" customWidth="1"/>
    <col min="15356" max="15359" width="5.54296875" style="217" customWidth="1"/>
    <col min="15360" max="15360" width="7" style="217" customWidth="1"/>
    <col min="15361" max="15368" width="5.54296875" style="217" customWidth="1"/>
    <col min="15369" max="15369" width="55" style="217" customWidth="1"/>
    <col min="15370" max="15370" width="8.7265625" style="217" customWidth="1"/>
    <col min="15371" max="15371" width="8.1796875" style="217" customWidth="1"/>
    <col min="15372" max="15372" width="7.1796875" style="217" customWidth="1"/>
    <col min="15373" max="15373" width="16.54296875" style="217" bestFit="1" customWidth="1"/>
    <col min="15374" max="15374" width="18.54296875" style="217" customWidth="1"/>
    <col min="15375" max="15601" width="8.7265625" style="217" customWidth="1"/>
    <col min="15602" max="15602" width="39.7265625" style="217" customWidth="1"/>
    <col min="15603" max="15605" width="6.1796875" style="217" customWidth="1"/>
    <col min="15606" max="15606" width="8.453125" style="217" bestFit="1" customWidth="1"/>
    <col min="15607" max="15607" width="12.54296875" style="217" bestFit="1" customWidth="1"/>
    <col min="15608" max="15608" width="27.26953125" style="217" bestFit="1" customWidth="1"/>
    <col min="15609" max="15609" width="9.1796875" style="217" customWidth="1"/>
    <col min="15610" max="15610" width="14.7265625" style="217"/>
    <col min="15611" max="15611" width="32.81640625" style="217" customWidth="1"/>
    <col min="15612" max="15615" width="5.54296875" style="217" customWidth="1"/>
    <col min="15616" max="15616" width="7" style="217" customWidth="1"/>
    <col min="15617" max="15624" width="5.54296875" style="217" customWidth="1"/>
    <col min="15625" max="15625" width="55" style="217" customWidth="1"/>
    <col min="15626" max="15626" width="8.7265625" style="217" customWidth="1"/>
    <col min="15627" max="15627" width="8.1796875" style="217" customWidth="1"/>
    <col min="15628" max="15628" width="7.1796875" style="217" customWidth="1"/>
    <col min="15629" max="15629" width="16.54296875" style="217" bestFit="1" customWidth="1"/>
    <col min="15630" max="15630" width="18.54296875" style="217" customWidth="1"/>
    <col min="15631" max="15857" width="8.7265625" style="217" customWidth="1"/>
    <col min="15858" max="15858" width="39.7265625" style="217" customWidth="1"/>
    <col min="15859" max="15861" width="6.1796875" style="217" customWidth="1"/>
    <col min="15862" max="15862" width="8.453125" style="217" bestFit="1" customWidth="1"/>
    <col min="15863" max="15863" width="12.54296875" style="217" bestFit="1" customWidth="1"/>
    <col min="15864" max="15864" width="27.26953125" style="217" bestFit="1" customWidth="1"/>
    <col min="15865" max="15865" width="9.1796875" style="217" customWidth="1"/>
    <col min="15866" max="15866" width="14.7265625" style="217"/>
    <col min="15867" max="15867" width="32.81640625" style="217" customWidth="1"/>
    <col min="15868" max="15871" width="5.54296875" style="217" customWidth="1"/>
    <col min="15872" max="15872" width="7" style="217" customWidth="1"/>
    <col min="15873" max="15880" width="5.54296875" style="217" customWidth="1"/>
    <col min="15881" max="15881" width="55" style="217" customWidth="1"/>
    <col min="15882" max="15882" width="8.7265625" style="217" customWidth="1"/>
    <col min="15883" max="15883" width="8.1796875" style="217" customWidth="1"/>
    <col min="15884" max="15884" width="7.1796875" style="217" customWidth="1"/>
    <col min="15885" max="15885" width="16.54296875" style="217" bestFit="1" customWidth="1"/>
    <col min="15886" max="15886" width="18.54296875" style="217" customWidth="1"/>
    <col min="15887" max="16113" width="8.7265625" style="217" customWidth="1"/>
    <col min="16114" max="16114" width="39.7265625" style="217" customWidth="1"/>
    <col min="16115" max="16117" width="6.1796875" style="217" customWidth="1"/>
    <col min="16118" max="16118" width="8.453125" style="217" bestFit="1" customWidth="1"/>
    <col min="16119" max="16119" width="12.54296875" style="217" bestFit="1" customWidth="1"/>
    <col min="16120" max="16120" width="27.26953125" style="217" bestFit="1" customWidth="1"/>
    <col min="16121" max="16121" width="9.1796875" style="217" customWidth="1"/>
    <col min="16122" max="16122" width="14.7265625" style="217"/>
    <col min="16123" max="16123" width="32.81640625" style="217" customWidth="1"/>
    <col min="16124" max="16127" width="5.54296875" style="217" customWidth="1"/>
    <col min="16128" max="16128" width="7" style="217" customWidth="1"/>
    <col min="16129" max="16136" width="5.54296875" style="217" customWidth="1"/>
    <col min="16137" max="16137" width="55" style="217" customWidth="1"/>
    <col min="16138" max="16138" width="8.7265625" style="217" customWidth="1"/>
    <col min="16139" max="16139" width="8.1796875" style="217" customWidth="1"/>
    <col min="16140" max="16140" width="7.1796875" style="217" customWidth="1"/>
    <col min="16141" max="16141" width="16.54296875" style="217" bestFit="1" customWidth="1"/>
    <col min="16142" max="16142" width="18.54296875" style="217" customWidth="1"/>
    <col min="16143" max="16369" width="8.7265625" style="217" customWidth="1"/>
    <col min="16370" max="16370" width="39.7265625" style="217" customWidth="1"/>
    <col min="16371" max="16373" width="6.1796875" style="217" customWidth="1"/>
    <col min="16374" max="16374" width="8.453125" style="217" bestFit="1" customWidth="1"/>
    <col min="16375" max="16375" width="12.54296875" style="217" bestFit="1" customWidth="1"/>
    <col min="16376" max="16376" width="27.26953125" style="217" bestFit="1" customWidth="1"/>
    <col min="16377" max="16384" width="9.1796875" style="217" customWidth="1"/>
  </cols>
  <sheetData>
    <row r="1" spans="1:18" ht="15" thickBot="1" x14ac:dyDescent="0.4">
      <c r="A1" s="256" t="s">
        <v>1318</v>
      </c>
      <c r="B1" s="257"/>
      <c r="C1" s="257"/>
      <c r="D1" s="257"/>
      <c r="E1" s="257"/>
      <c r="F1" s="257"/>
      <c r="G1" s="257"/>
      <c r="H1" s="257"/>
      <c r="I1" s="52"/>
      <c r="J1" s="257"/>
      <c r="K1" s="257"/>
      <c r="L1" s="257"/>
      <c r="M1" s="257"/>
    </row>
    <row r="2" spans="1:18" s="53" customFormat="1" ht="10.5" customHeight="1" x14ac:dyDescent="0.35">
      <c r="A2" s="1490" t="s">
        <v>360</v>
      </c>
      <c r="B2" s="1493" t="s">
        <v>1319</v>
      </c>
      <c r="C2" s="1494"/>
      <c r="D2" s="1494"/>
      <c r="E2" s="1494"/>
      <c r="F2" s="1495"/>
      <c r="G2" s="1495"/>
      <c r="H2" s="1496"/>
      <c r="I2" s="1501" t="s">
        <v>52</v>
      </c>
      <c r="J2" s="1504" t="s">
        <v>348</v>
      </c>
      <c r="K2" s="1505"/>
      <c r="L2" s="1510" t="s">
        <v>349</v>
      </c>
      <c r="M2" s="1488" t="s">
        <v>1345</v>
      </c>
    </row>
    <row r="3" spans="1:18" s="53" customFormat="1" ht="14.5" x14ac:dyDescent="0.35">
      <c r="A3" s="1491"/>
      <c r="B3" s="1497"/>
      <c r="C3" s="1498"/>
      <c r="D3" s="1498"/>
      <c r="E3" s="1498"/>
      <c r="F3" s="1499"/>
      <c r="G3" s="1499"/>
      <c r="H3" s="1500"/>
      <c r="I3" s="1502"/>
      <c r="J3" s="1506"/>
      <c r="K3" s="1507"/>
      <c r="L3" s="1511"/>
      <c r="M3" s="1489"/>
    </row>
    <row r="4" spans="1:18" s="53" customFormat="1" ht="14.5" x14ac:dyDescent="0.35">
      <c r="A4" s="1491"/>
      <c r="B4" s="1497"/>
      <c r="C4" s="1498"/>
      <c r="D4" s="1498"/>
      <c r="E4" s="1498"/>
      <c r="F4" s="1499"/>
      <c r="G4" s="1499"/>
      <c r="H4" s="1500"/>
      <c r="I4" s="1502"/>
      <c r="J4" s="1506"/>
      <c r="K4" s="1507"/>
      <c r="L4" s="1511"/>
      <c r="M4" s="1489"/>
    </row>
    <row r="5" spans="1:18" s="53" customFormat="1" ht="14.5" x14ac:dyDescent="0.35">
      <c r="A5" s="1491"/>
      <c r="B5" s="1497"/>
      <c r="C5" s="1498"/>
      <c r="D5" s="1498"/>
      <c r="E5" s="1498"/>
      <c r="F5" s="1499"/>
      <c r="G5" s="1499"/>
      <c r="H5" s="1500"/>
      <c r="I5" s="1502"/>
      <c r="J5" s="1508"/>
      <c r="K5" s="1509"/>
      <c r="L5" s="1511"/>
      <c r="M5" s="1489"/>
    </row>
    <row r="6" spans="1:18" s="141" customFormat="1" ht="24.5" thickBot="1" x14ac:dyDescent="0.35">
      <c r="A6" s="1492"/>
      <c r="B6" s="1371">
        <v>2024</v>
      </c>
      <c r="C6" s="1371">
        <v>2025</v>
      </c>
      <c r="D6" s="1371">
        <v>2026</v>
      </c>
      <c r="E6" s="1371">
        <v>2027</v>
      </c>
      <c r="F6" s="1371">
        <v>2028</v>
      </c>
      <c r="G6" s="1371">
        <v>2029</v>
      </c>
      <c r="H6" s="1371">
        <v>2030</v>
      </c>
      <c r="I6" s="1503"/>
      <c r="J6" s="350" t="s">
        <v>362</v>
      </c>
      <c r="K6" s="350" t="s">
        <v>351</v>
      </c>
      <c r="L6" s="1512"/>
      <c r="M6" s="1489"/>
    </row>
    <row r="7" spans="1:18" hidden="1" x14ac:dyDescent="0.3">
      <c r="A7" s="1516" t="s">
        <v>282</v>
      </c>
      <c r="B7" s="1519"/>
      <c r="C7" s="1520"/>
      <c r="D7" s="1520"/>
      <c r="E7" s="1520"/>
      <c r="F7" s="1520"/>
      <c r="G7" s="1520"/>
      <c r="H7" s="1521"/>
      <c r="I7" s="1522" t="s">
        <v>52</v>
      </c>
      <c r="J7" s="1525" t="s">
        <v>53</v>
      </c>
      <c r="K7" s="1525" t="s">
        <v>53</v>
      </c>
      <c r="L7" s="1525" t="s">
        <v>54</v>
      </c>
      <c r="M7" s="1513" t="s">
        <v>339</v>
      </c>
      <c r="P7" s="166"/>
      <c r="Q7" s="166"/>
      <c r="R7" s="166"/>
    </row>
    <row r="8" spans="1:18" hidden="1" x14ac:dyDescent="0.3">
      <c r="A8" s="1517"/>
      <c r="B8" s="262">
        <f>SUM(B11:B44)</f>
        <v>99</v>
      </c>
      <c r="C8" s="262">
        <f>SUM(C11:C44)</f>
        <v>104</v>
      </c>
      <c r="D8" s="262">
        <f>SUM(D11:D44)</f>
        <v>104</v>
      </c>
      <c r="E8" s="262">
        <f>SUM(E11:E44)</f>
        <v>103</v>
      </c>
      <c r="F8" s="1376"/>
      <c r="G8" s="1376"/>
      <c r="H8" s="1372">
        <f>SUM(H11:H44)</f>
        <v>101</v>
      </c>
      <c r="I8" s="1523"/>
      <c r="J8" s="1526"/>
      <c r="K8" s="1526"/>
      <c r="L8" s="1526"/>
      <c r="M8" s="1514"/>
    </row>
    <row r="9" spans="1:18" s="263" customFormat="1" ht="13.5" hidden="1" thickBot="1" x14ac:dyDescent="0.35">
      <c r="A9" s="1518"/>
      <c r="B9" s="1373">
        <v>2023</v>
      </c>
      <c r="C9" s="55">
        <v>2024</v>
      </c>
      <c r="D9" s="55">
        <v>2025</v>
      </c>
      <c r="E9" s="56">
        <v>2026</v>
      </c>
      <c r="F9" s="56"/>
      <c r="G9" s="56"/>
      <c r="H9" s="1374">
        <v>2027</v>
      </c>
      <c r="I9" s="1524"/>
      <c r="J9" s="1527"/>
      <c r="K9" s="1527"/>
      <c r="L9" s="1527"/>
      <c r="M9" s="1515"/>
    </row>
    <row r="10" spans="1:18" s="263" customFormat="1" hidden="1" x14ac:dyDescent="0.3">
      <c r="A10" s="1369">
        <v>1</v>
      </c>
      <c r="B10" s="1369">
        <v>7</v>
      </c>
      <c r="C10" s="317">
        <v>8</v>
      </c>
      <c r="D10" s="317">
        <v>9</v>
      </c>
      <c r="E10" s="317">
        <v>10</v>
      </c>
      <c r="F10" s="317"/>
      <c r="G10" s="317"/>
      <c r="H10" s="1370">
        <v>11</v>
      </c>
      <c r="I10" s="317">
        <v>15</v>
      </c>
      <c r="J10" s="317">
        <v>16</v>
      </c>
      <c r="K10" s="317">
        <v>17</v>
      </c>
      <c r="L10" s="317">
        <v>18</v>
      </c>
      <c r="M10" s="1370">
        <v>19</v>
      </c>
    </row>
    <row r="11" spans="1:18" s="263" customFormat="1" x14ac:dyDescent="0.3">
      <c r="A11" s="1377" t="s">
        <v>55</v>
      </c>
      <c r="B11" s="1378"/>
      <c r="C11" s="401"/>
      <c r="D11" s="401"/>
      <c r="E11" s="401"/>
      <c r="F11" s="1379"/>
      <c r="G11" s="1379"/>
      <c r="H11" s="1380"/>
      <c r="I11" s="1381"/>
      <c r="J11" s="405"/>
      <c r="K11" s="405"/>
      <c r="L11" s="405"/>
      <c r="M11" s="1382"/>
    </row>
    <row r="12" spans="1:18" s="274" customFormat="1" ht="26.25" customHeight="1" x14ac:dyDescent="0.3">
      <c r="A12" s="1383" t="s">
        <v>283</v>
      </c>
      <c r="B12" s="1384">
        <v>8</v>
      </c>
      <c r="C12" s="627">
        <v>10</v>
      </c>
      <c r="D12" s="616"/>
      <c r="E12" s="616"/>
      <c r="F12" s="1385"/>
      <c r="G12" s="1385"/>
      <c r="H12" s="1386"/>
      <c r="I12" s="1387" t="s">
        <v>1216</v>
      </c>
      <c r="J12" s="61">
        <v>17</v>
      </c>
      <c r="K12" s="61">
        <v>26</v>
      </c>
      <c r="L12" s="61">
        <v>9</v>
      </c>
      <c r="M12" s="1388">
        <v>17000</v>
      </c>
      <c r="N12" s="273"/>
      <c r="P12" s="275"/>
    </row>
    <row r="13" spans="1:18" s="274" customFormat="1" x14ac:dyDescent="0.3">
      <c r="A13" s="1383" t="s">
        <v>1320</v>
      </c>
      <c r="B13" s="1384"/>
      <c r="C13" s="627"/>
      <c r="D13" s="616"/>
      <c r="E13" s="616"/>
      <c r="F13" s="1385"/>
      <c r="G13" s="1385">
        <v>5</v>
      </c>
      <c r="H13" s="1386">
        <v>5</v>
      </c>
      <c r="I13" s="1387" t="s">
        <v>1321</v>
      </c>
      <c r="J13" s="61">
        <v>50</v>
      </c>
      <c r="K13" s="61">
        <v>52</v>
      </c>
      <c r="L13" s="61">
        <v>2</v>
      </c>
      <c r="M13" s="1388">
        <v>8000</v>
      </c>
      <c r="N13" s="273"/>
      <c r="P13" s="275"/>
    </row>
    <row r="14" spans="1:18" s="274" customFormat="1" x14ac:dyDescent="0.3">
      <c r="A14" s="1383" t="s">
        <v>1223</v>
      </c>
      <c r="B14" s="1384"/>
      <c r="C14" s="627"/>
      <c r="D14" s="627"/>
      <c r="E14" s="627"/>
      <c r="F14" s="1389"/>
      <c r="G14" s="1389">
        <v>5</v>
      </c>
      <c r="H14" s="1386">
        <v>10</v>
      </c>
      <c r="I14" s="1387" t="s">
        <v>1322</v>
      </c>
      <c r="J14" s="61">
        <v>90</v>
      </c>
      <c r="K14" s="61">
        <v>94</v>
      </c>
      <c r="L14" s="61">
        <v>4</v>
      </c>
      <c r="M14" s="1388">
        <v>5000</v>
      </c>
      <c r="N14" s="273"/>
      <c r="P14" s="275"/>
    </row>
    <row r="15" spans="1:18" s="274" customFormat="1" x14ac:dyDescent="0.3">
      <c r="A15" s="1383" t="s">
        <v>1229</v>
      </c>
      <c r="B15" s="1384"/>
      <c r="C15" s="627"/>
      <c r="D15" s="627"/>
      <c r="E15" s="627"/>
      <c r="F15" s="1389"/>
      <c r="G15" s="1389">
        <v>10</v>
      </c>
      <c r="H15" s="1386">
        <v>5</v>
      </c>
      <c r="I15" s="1387" t="s">
        <v>1229</v>
      </c>
      <c r="J15" s="61">
        <v>99</v>
      </c>
      <c r="K15" s="61">
        <v>103</v>
      </c>
      <c r="L15" s="61">
        <v>4</v>
      </c>
      <c r="M15" s="1388">
        <v>6000</v>
      </c>
      <c r="N15" s="273"/>
      <c r="P15" s="275"/>
    </row>
    <row r="16" spans="1:18" s="274" customFormat="1" x14ac:dyDescent="0.3">
      <c r="A16" s="1383" t="s">
        <v>1323</v>
      </c>
      <c r="B16" s="1384"/>
      <c r="C16" s="627"/>
      <c r="D16" s="616">
        <v>10</v>
      </c>
      <c r="E16" s="616">
        <v>10</v>
      </c>
      <c r="F16" s="1385">
        <v>10</v>
      </c>
      <c r="G16" s="1385"/>
      <c r="H16" s="1386"/>
      <c r="I16" s="1387" t="s">
        <v>1324</v>
      </c>
      <c r="J16" s="61">
        <v>163.6</v>
      </c>
      <c r="K16" s="61">
        <v>170</v>
      </c>
      <c r="L16" s="61">
        <v>6.4000000000000101</v>
      </c>
      <c r="M16" s="1388">
        <v>8200</v>
      </c>
      <c r="N16" s="273"/>
      <c r="P16" s="275"/>
    </row>
    <row r="17" spans="1:16" s="274" customFormat="1" x14ac:dyDescent="0.3">
      <c r="A17" s="1383" t="s">
        <v>1325</v>
      </c>
      <c r="B17" s="1384"/>
      <c r="C17" s="627"/>
      <c r="D17" s="616"/>
      <c r="E17" s="616"/>
      <c r="F17" s="1385"/>
      <c r="G17" s="1385"/>
      <c r="H17" s="1390">
        <v>20</v>
      </c>
      <c r="I17" s="1387" t="s">
        <v>1326</v>
      </c>
      <c r="J17" s="61">
        <v>170</v>
      </c>
      <c r="K17" s="61">
        <v>183</v>
      </c>
      <c r="L17" s="61">
        <v>13</v>
      </c>
      <c r="M17" s="1388">
        <v>7200</v>
      </c>
      <c r="N17" s="273"/>
      <c r="P17" s="275"/>
    </row>
    <row r="18" spans="1:16" s="274" customFormat="1" x14ac:dyDescent="0.3">
      <c r="A18" s="1383" t="s">
        <v>1327</v>
      </c>
      <c r="B18" s="1384"/>
      <c r="C18" s="627"/>
      <c r="D18" s="627"/>
      <c r="E18" s="627"/>
      <c r="F18" s="1389">
        <v>20</v>
      </c>
      <c r="G18" s="1389">
        <v>20</v>
      </c>
      <c r="H18" s="1390">
        <v>20</v>
      </c>
      <c r="I18" s="1387" t="s">
        <v>1346</v>
      </c>
      <c r="J18" s="61">
        <v>188</v>
      </c>
      <c r="K18" s="61">
        <v>209</v>
      </c>
      <c r="L18" s="61">
        <v>21</v>
      </c>
      <c r="M18" s="1388" t="s">
        <v>1328</v>
      </c>
      <c r="N18" s="275"/>
      <c r="P18" s="275"/>
    </row>
    <row r="19" spans="1:16" s="261" customFormat="1" ht="26" x14ac:dyDescent="0.3">
      <c r="A19" s="1391" t="s">
        <v>64</v>
      </c>
      <c r="B19" s="1392"/>
      <c r="C19" s="324"/>
      <c r="D19" s="324"/>
      <c r="E19" s="324"/>
      <c r="F19" s="1393"/>
      <c r="G19" s="1393"/>
      <c r="H19" s="1394"/>
      <c r="I19" s="1395"/>
      <c r="J19" s="402"/>
      <c r="K19" s="402"/>
      <c r="L19" s="402"/>
      <c r="M19" s="1396"/>
    </row>
    <row r="20" spans="1:16" s="281" customFormat="1" x14ac:dyDescent="0.3">
      <c r="A20" s="1383" t="s">
        <v>291</v>
      </c>
      <c r="B20" s="1397"/>
      <c r="C20" s="627"/>
      <c r="D20" s="627">
        <v>10</v>
      </c>
      <c r="E20" s="627">
        <v>10</v>
      </c>
      <c r="F20" s="1389">
        <v>10</v>
      </c>
      <c r="G20" s="1389"/>
      <c r="H20" s="1390"/>
      <c r="I20" s="1387" t="s">
        <v>1347</v>
      </c>
      <c r="J20" s="626">
        <v>92</v>
      </c>
      <c r="K20" s="626">
        <v>102</v>
      </c>
      <c r="L20" s="626">
        <v>10</v>
      </c>
      <c r="M20" s="1390" t="s">
        <v>1329</v>
      </c>
      <c r="N20" s="1419"/>
    </row>
    <row r="21" spans="1:16" s="281" customFormat="1" x14ac:dyDescent="0.3">
      <c r="A21" s="1383" t="s">
        <v>1246</v>
      </c>
      <c r="B21" s="1397"/>
      <c r="C21" s="627"/>
      <c r="D21" s="627"/>
      <c r="E21" s="627"/>
      <c r="F21" s="1389"/>
      <c r="G21" s="1389">
        <v>10</v>
      </c>
      <c r="H21" s="1390">
        <v>10</v>
      </c>
      <c r="I21" s="1387" t="s">
        <v>1346</v>
      </c>
      <c r="J21" s="626">
        <v>102</v>
      </c>
      <c r="K21" s="626">
        <v>109</v>
      </c>
      <c r="L21" s="626">
        <v>7</v>
      </c>
      <c r="M21" s="1390">
        <v>7600</v>
      </c>
      <c r="N21" s="280"/>
    </row>
    <row r="22" spans="1:16" s="281" customFormat="1" x14ac:dyDescent="0.3">
      <c r="A22" s="1383" t="s">
        <v>296</v>
      </c>
      <c r="B22" s="1384"/>
      <c r="C22" s="627"/>
      <c r="D22" s="627">
        <v>5</v>
      </c>
      <c r="E22" s="627">
        <v>5</v>
      </c>
      <c r="F22" s="1389"/>
      <c r="G22" s="1389"/>
      <c r="H22" s="1390"/>
      <c r="I22" s="1387" t="s">
        <v>1346</v>
      </c>
      <c r="J22" s="626">
        <v>109</v>
      </c>
      <c r="K22" s="626">
        <v>112</v>
      </c>
      <c r="L22" s="626">
        <v>3</v>
      </c>
      <c r="M22" s="1390">
        <v>7200</v>
      </c>
      <c r="N22" s="283"/>
    </row>
    <row r="23" spans="1:16" s="281" customFormat="1" x14ac:dyDescent="0.3">
      <c r="A23" s="1383" t="s">
        <v>300</v>
      </c>
      <c r="B23" s="1384"/>
      <c r="C23" s="627"/>
      <c r="D23" s="627">
        <v>5</v>
      </c>
      <c r="E23" s="627">
        <v>8</v>
      </c>
      <c r="F23" s="1389">
        <v>5</v>
      </c>
      <c r="G23" s="1389"/>
      <c r="H23" s="1390"/>
      <c r="I23" s="1387" t="s">
        <v>1346</v>
      </c>
      <c r="J23" s="626">
        <v>126</v>
      </c>
      <c r="K23" s="626">
        <v>132</v>
      </c>
      <c r="L23" s="626">
        <v>6</v>
      </c>
      <c r="M23" s="1390">
        <v>7000</v>
      </c>
    </row>
    <row r="24" spans="1:16" s="281" customFormat="1" x14ac:dyDescent="0.3">
      <c r="A24" s="1383" t="s">
        <v>1251</v>
      </c>
      <c r="B24" s="1384"/>
      <c r="C24" s="627"/>
      <c r="D24" s="627"/>
      <c r="E24" s="627">
        <v>10</v>
      </c>
      <c r="F24" s="1389">
        <v>10</v>
      </c>
      <c r="G24" s="1389">
        <v>10</v>
      </c>
      <c r="H24" s="1390">
        <v>10</v>
      </c>
      <c r="I24" s="1387" t="s">
        <v>1346</v>
      </c>
      <c r="J24" s="626">
        <v>147</v>
      </c>
      <c r="K24" s="626">
        <v>160.80000000000001</v>
      </c>
      <c r="L24" s="626">
        <v>13.800000000000011</v>
      </c>
      <c r="M24" s="1390">
        <v>7500</v>
      </c>
    </row>
    <row r="25" spans="1:16" s="281" customFormat="1" ht="26" x14ac:dyDescent="0.3">
      <c r="A25" s="1383" t="s">
        <v>585</v>
      </c>
      <c r="B25" s="1384">
        <v>10</v>
      </c>
      <c r="C25" s="627">
        <v>10</v>
      </c>
      <c r="D25" s="627"/>
      <c r="E25" s="627"/>
      <c r="F25" s="1389"/>
      <c r="G25" s="1389"/>
      <c r="H25" s="1390"/>
      <c r="I25" s="1387" t="s">
        <v>1348</v>
      </c>
      <c r="J25" s="626">
        <v>170</v>
      </c>
      <c r="K25" s="626">
        <v>174.4</v>
      </c>
      <c r="L25" s="626">
        <v>4.4000000000000057</v>
      </c>
      <c r="M25" s="1390">
        <v>7600</v>
      </c>
      <c r="N25" s="1419"/>
    </row>
    <row r="26" spans="1:16" s="281" customFormat="1" x14ac:dyDescent="0.3">
      <c r="A26" s="1383" t="s">
        <v>1253</v>
      </c>
      <c r="B26" s="1384"/>
      <c r="C26" s="627"/>
      <c r="D26" s="627">
        <v>5</v>
      </c>
      <c r="E26" s="627">
        <v>5</v>
      </c>
      <c r="F26" s="1389"/>
      <c r="G26" s="1389"/>
      <c r="H26" s="1390"/>
      <c r="I26" s="1387" t="s">
        <v>1349</v>
      </c>
      <c r="J26" s="626">
        <v>174.4</v>
      </c>
      <c r="K26" s="626">
        <v>178</v>
      </c>
      <c r="L26" s="626">
        <v>3.5999999999999943</v>
      </c>
      <c r="M26" s="1390">
        <v>7600</v>
      </c>
    </row>
    <row r="27" spans="1:16" s="281" customFormat="1" x14ac:dyDescent="0.3">
      <c r="A27" s="1420" t="s">
        <v>1330</v>
      </c>
      <c r="B27" s="1421">
        <v>12</v>
      </c>
      <c r="C27" s="284">
        <v>10</v>
      </c>
      <c r="D27" s="627"/>
      <c r="E27" s="627"/>
      <c r="F27" s="1389"/>
      <c r="G27" s="1389"/>
      <c r="H27" s="1390"/>
      <c r="I27" s="1387" t="s">
        <v>1331</v>
      </c>
      <c r="J27" s="626">
        <v>184.1</v>
      </c>
      <c r="K27" s="626">
        <v>185.9</v>
      </c>
      <c r="L27" s="626">
        <v>1.8</v>
      </c>
      <c r="M27" s="1390">
        <v>18400</v>
      </c>
    </row>
    <row r="28" spans="1:16" s="281" customFormat="1" x14ac:dyDescent="0.3">
      <c r="A28" s="1383" t="s">
        <v>304</v>
      </c>
      <c r="B28" s="1384"/>
      <c r="C28" s="627"/>
      <c r="D28" s="627"/>
      <c r="E28" s="627"/>
      <c r="F28" s="1389">
        <v>10</v>
      </c>
      <c r="G28" s="1389">
        <v>5</v>
      </c>
      <c r="H28" s="1390"/>
      <c r="I28" s="1387" t="s">
        <v>1350</v>
      </c>
      <c r="J28" s="626">
        <v>191.2</v>
      </c>
      <c r="K28" s="626">
        <v>194.5</v>
      </c>
      <c r="L28" s="626">
        <v>3.3000000000000114</v>
      </c>
      <c r="M28" s="1390" t="s">
        <v>1332</v>
      </c>
      <c r="O28" s="281" t="s">
        <v>73</v>
      </c>
    </row>
    <row r="29" spans="1:16" s="261" customFormat="1" ht="26" x14ac:dyDescent="0.3">
      <c r="A29" s="1391" t="s">
        <v>76</v>
      </c>
      <c r="B29" s="1392"/>
      <c r="C29" s="324"/>
      <c r="D29" s="324"/>
      <c r="E29" s="324"/>
      <c r="F29" s="1393"/>
      <c r="G29" s="1393"/>
      <c r="H29" s="1394"/>
      <c r="I29" s="1395"/>
      <c r="J29" s="402"/>
      <c r="K29" s="402"/>
      <c r="L29" s="402"/>
      <c r="M29" s="1396"/>
    </row>
    <row r="30" spans="1:16" s="261" customFormat="1" x14ac:dyDescent="0.3">
      <c r="A30" s="1398" t="s">
        <v>1262</v>
      </c>
      <c r="B30" s="1399"/>
      <c r="C30" s="594"/>
      <c r="D30" s="627"/>
      <c r="E30" s="627">
        <v>20</v>
      </c>
      <c r="F30" s="1389">
        <v>20</v>
      </c>
      <c r="G30" s="1389">
        <v>10</v>
      </c>
      <c r="H30" s="1390"/>
      <c r="I30" s="1400" t="s">
        <v>1351</v>
      </c>
      <c r="J30" s="595">
        <v>138.69999999999999</v>
      </c>
      <c r="K30" s="595">
        <v>152</v>
      </c>
      <c r="L30" s="595">
        <v>13.6</v>
      </c>
      <c r="M30" s="1401" t="s">
        <v>1333</v>
      </c>
      <c r="N30" s="1419"/>
    </row>
    <row r="31" spans="1:16" s="261" customFormat="1" ht="26" x14ac:dyDescent="0.3">
      <c r="A31" s="1391" t="s">
        <v>77</v>
      </c>
      <c r="B31" s="1392"/>
      <c r="C31" s="324"/>
      <c r="D31" s="324"/>
      <c r="E31" s="324"/>
      <c r="F31" s="1393"/>
      <c r="G31" s="1393"/>
      <c r="H31" s="1394"/>
      <c r="I31" s="1395"/>
      <c r="J31" s="402"/>
      <c r="K31" s="402"/>
      <c r="L31" s="402"/>
      <c r="M31" s="1394"/>
    </row>
    <row r="32" spans="1:16" s="281" customFormat="1" x14ac:dyDescent="0.3">
      <c r="A32" s="1383" t="s">
        <v>1334</v>
      </c>
      <c r="B32" s="1384"/>
      <c r="C32" s="627"/>
      <c r="D32" s="616"/>
      <c r="E32" s="289"/>
      <c r="F32" s="1402"/>
      <c r="G32" s="1385">
        <v>12</v>
      </c>
      <c r="H32" s="1390">
        <v>12</v>
      </c>
      <c r="I32" s="1387" t="s">
        <v>1346</v>
      </c>
      <c r="J32" s="626">
        <v>42</v>
      </c>
      <c r="K32" s="626">
        <v>50</v>
      </c>
      <c r="L32" s="626">
        <v>8</v>
      </c>
      <c r="M32" s="1390">
        <v>8600</v>
      </c>
    </row>
    <row r="33" spans="1:15" s="281" customFormat="1" x14ac:dyDescent="0.3">
      <c r="A33" s="1383" t="s">
        <v>1272</v>
      </c>
      <c r="B33" s="1384">
        <v>12</v>
      </c>
      <c r="C33" s="627">
        <v>12</v>
      </c>
      <c r="D33" s="616">
        <v>12</v>
      </c>
      <c r="E33" s="616"/>
      <c r="F33" s="1385"/>
      <c r="G33" s="1385"/>
      <c r="H33" s="1403"/>
      <c r="I33" s="1387" t="s">
        <v>1346</v>
      </c>
      <c r="J33" s="626">
        <v>50</v>
      </c>
      <c r="K33" s="626">
        <v>62</v>
      </c>
      <c r="L33" s="626">
        <v>12</v>
      </c>
      <c r="M33" s="1390">
        <v>8400</v>
      </c>
    </row>
    <row r="34" spans="1:15" s="281" customFormat="1" x14ac:dyDescent="0.3">
      <c r="A34" s="1383" t="s">
        <v>1274</v>
      </c>
      <c r="B34" s="1384"/>
      <c r="C34" s="627"/>
      <c r="D34" s="627"/>
      <c r="E34" s="627">
        <v>15</v>
      </c>
      <c r="F34" s="1389">
        <v>15</v>
      </c>
      <c r="G34" s="1389">
        <v>15</v>
      </c>
      <c r="H34" s="1386"/>
      <c r="I34" s="1387" t="s">
        <v>1346</v>
      </c>
      <c r="J34" s="626">
        <v>62</v>
      </c>
      <c r="K34" s="626">
        <v>77</v>
      </c>
      <c r="L34" s="626">
        <v>15</v>
      </c>
      <c r="M34" s="1390" t="s">
        <v>1335</v>
      </c>
    </row>
    <row r="35" spans="1:15" s="281" customFormat="1" x14ac:dyDescent="0.3">
      <c r="A35" s="1383" t="s">
        <v>1276</v>
      </c>
      <c r="B35" s="1384">
        <v>12</v>
      </c>
      <c r="C35" s="627">
        <v>12</v>
      </c>
      <c r="D35" s="616">
        <v>12</v>
      </c>
      <c r="E35" s="289"/>
      <c r="F35" s="1402"/>
      <c r="G35" s="1402"/>
      <c r="H35" s="1386"/>
      <c r="I35" s="1387" t="s">
        <v>1346</v>
      </c>
      <c r="J35" s="626">
        <v>77</v>
      </c>
      <c r="K35" s="626">
        <v>89</v>
      </c>
      <c r="L35" s="626">
        <v>12</v>
      </c>
      <c r="M35" s="1390" t="s">
        <v>1336</v>
      </c>
    </row>
    <row r="36" spans="1:15" s="281" customFormat="1" x14ac:dyDescent="0.3">
      <c r="A36" s="1383" t="s">
        <v>1278</v>
      </c>
      <c r="B36" s="1384"/>
      <c r="C36" s="627"/>
      <c r="D36" s="616"/>
      <c r="E36" s="289"/>
      <c r="F36" s="1402"/>
      <c r="G36" s="1402"/>
      <c r="H36" s="1386">
        <v>9</v>
      </c>
      <c r="I36" s="1387" t="s">
        <v>1346</v>
      </c>
      <c r="J36" s="626">
        <v>89</v>
      </c>
      <c r="K36" s="626">
        <v>92</v>
      </c>
      <c r="L36" s="626">
        <v>3</v>
      </c>
      <c r="M36" s="1390">
        <v>8300</v>
      </c>
    </row>
    <row r="37" spans="1:15" s="281" customFormat="1" x14ac:dyDescent="0.3">
      <c r="A37" s="1383" t="s">
        <v>1337</v>
      </c>
      <c r="B37" s="1384">
        <v>5</v>
      </c>
      <c r="C37" s="627">
        <v>15</v>
      </c>
      <c r="D37" s="627">
        <v>15</v>
      </c>
      <c r="E37" s="627">
        <v>20</v>
      </c>
      <c r="F37" s="1389"/>
      <c r="G37" s="1389"/>
      <c r="H37" s="1390"/>
      <c r="I37" s="1387" t="s">
        <v>1346</v>
      </c>
      <c r="J37" s="626">
        <v>92</v>
      </c>
      <c r="K37" s="626">
        <v>109</v>
      </c>
      <c r="L37" s="626">
        <v>17</v>
      </c>
      <c r="M37" s="1390" t="s">
        <v>1338</v>
      </c>
    </row>
    <row r="38" spans="1:15" s="281" customFormat="1" x14ac:dyDescent="0.3">
      <c r="A38" s="1420" t="s">
        <v>1339</v>
      </c>
      <c r="B38" s="1421">
        <v>20</v>
      </c>
      <c r="C38" s="284">
        <v>20</v>
      </c>
      <c r="D38" s="284">
        <v>15</v>
      </c>
      <c r="E38" s="284"/>
      <c r="F38" s="1422"/>
      <c r="G38" s="1422"/>
      <c r="H38" s="1423"/>
      <c r="I38" s="1424" t="s">
        <v>1352</v>
      </c>
      <c r="J38" s="1425">
        <v>109</v>
      </c>
      <c r="K38" s="1425">
        <v>120.7</v>
      </c>
      <c r="L38" s="1425">
        <v>11.7</v>
      </c>
      <c r="M38" s="1423">
        <v>10100</v>
      </c>
      <c r="N38" s="428"/>
      <c r="O38" s="1418"/>
    </row>
    <row r="39" spans="1:15" s="261" customFormat="1" ht="26" x14ac:dyDescent="0.3">
      <c r="A39" s="1391" t="s">
        <v>87</v>
      </c>
      <c r="B39" s="1392"/>
      <c r="C39" s="324"/>
      <c r="D39" s="324"/>
      <c r="E39" s="324"/>
      <c r="F39" s="1393"/>
      <c r="G39" s="1393"/>
      <c r="H39" s="1394"/>
      <c r="I39" s="1395"/>
      <c r="J39" s="402"/>
      <c r="K39" s="402"/>
      <c r="L39" s="402"/>
      <c r="M39" s="1396"/>
    </row>
    <row r="40" spans="1:15" s="261" customFormat="1" ht="26" x14ac:dyDescent="0.3">
      <c r="A40" s="1383" t="s">
        <v>1344</v>
      </c>
      <c r="B40" s="1384">
        <v>5</v>
      </c>
      <c r="C40" s="627">
        <v>5</v>
      </c>
      <c r="D40" s="627">
        <v>5</v>
      </c>
      <c r="E40" s="627"/>
      <c r="F40" s="1389"/>
      <c r="G40" s="1389"/>
      <c r="H40" s="1390"/>
      <c r="I40" s="1387" t="s">
        <v>1317</v>
      </c>
      <c r="J40" s="626">
        <v>0</v>
      </c>
      <c r="K40" s="626">
        <v>1.5</v>
      </c>
      <c r="L40" s="626">
        <v>1.5</v>
      </c>
      <c r="M40" s="1404" t="s">
        <v>1340</v>
      </c>
    </row>
    <row r="41" spans="1:15" s="261" customFormat="1" x14ac:dyDescent="0.3">
      <c r="A41" s="1391" t="s">
        <v>1342</v>
      </c>
      <c r="B41" s="1392"/>
      <c r="C41" s="324"/>
      <c r="D41" s="324"/>
      <c r="E41" s="324"/>
      <c r="F41" s="1393"/>
      <c r="G41" s="1393"/>
      <c r="H41" s="1394"/>
      <c r="I41" s="1395"/>
      <c r="J41" s="402"/>
      <c r="K41" s="402"/>
      <c r="L41" s="402"/>
      <c r="M41" s="1396"/>
    </row>
    <row r="42" spans="1:15" s="281" customFormat="1" x14ac:dyDescent="0.3">
      <c r="A42" s="1383" t="s">
        <v>1291</v>
      </c>
      <c r="B42" s="1384">
        <v>10</v>
      </c>
      <c r="C42" s="627"/>
      <c r="D42" s="627"/>
      <c r="E42" s="627"/>
      <c r="F42" s="1389"/>
      <c r="G42" s="1389"/>
      <c r="H42" s="1390"/>
      <c r="I42" s="1387" t="s">
        <v>1341</v>
      </c>
      <c r="J42" s="626">
        <v>11</v>
      </c>
      <c r="K42" s="626">
        <v>14</v>
      </c>
      <c r="L42" s="626">
        <v>3</v>
      </c>
      <c r="M42" s="1390">
        <v>17800</v>
      </c>
    </row>
    <row r="43" spans="1:15" s="281" customFormat="1" ht="26" x14ac:dyDescent="0.3">
      <c r="A43" s="1391" t="s">
        <v>94</v>
      </c>
      <c r="B43" s="1392"/>
      <c r="C43" s="324"/>
      <c r="D43" s="324"/>
      <c r="E43" s="324"/>
      <c r="F43" s="1393"/>
      <c r="G43" s="1393"/>
      <c r="H43" s="1394"/>
      <c r="I43" s="1395"/>
      <c r="J43" s="324"/>
      <c r="K43" s="324"/>
      <c r="L43" s="324"/>
      <c r="M43" s="1396"/>
    </row>
    <row r="44" spans="1:15" s="281" customFormat="1" ht="13.5" thickBot="1" x14ac:dyDescent="0.35">
      <c r="A44" s="1405" t="s">
        <v>1307</v>
      </c>
      <c r="B44" s="1406">
        <v>5</v>
      </c>
      <c r="C44" s="590">
        <v>10</v>
      </c>
      <c r="D44" s="590">
        <v>10</v>
      </c>
      <c r="E44" s="295"/>
      <c r="F44" s="1407"/>
      <c r="G44" s="1407"/>
      <c r="H44" s="1408"/>
      <c r="I44" s="1409" t="s">
        <v>1352</v>
      </c>
      <c r="J44" s="1410">
        <v>34</v>
      </c>
      <c r="K44" s="1410">
        <v>38</v>
      </c>
      <c r="L44" s="1410">
        <v>4</v>
      </c>
      <c r="M44" s="1411" t="s">
        <v>1343</v>
      </c>
      <c r="N44" s="428"/>
    </row>
    <row r="45" spans="1:15" s="281" customFormat="1" ht="13.5" thickBot="1" x14ac:dyDescent="0.35">
      <c r="A45" s="1412" t="s">
        <v>330</v>
      </c>
      <c r="B45" s="439">
        <f t="shared" ref="B45:H45" si="0">SUM(B12:B44)</f>
        <v>99</v>
      </c>
      <c r="C45" s="439">
        <f t="shared" si="0"/>
        <v>104</v>
      </c>
      <c r="D45" s="439">
        <f t="shared" si="0"/>
        <v>104</v>
      </c>
      <c r="E45" s="439">
        <f t="shared" si="0"/>
        <v>103</v>
      </c>
      <c r="F45" s="1413">
        <f t="shared" si="0"/>
        <v>100</v>
      </c>
      <c r="G45" s="1413">
        <f t="shared" si="0"/>
        <v>102</v>
      </c>
      <c r="H45" s="1414">
        <f t="shared" si="0"/>
        <v>101</v>
      </c>
      <c r="I45" s="1415"/>
      <c r="J45" s="1416"/>
      <c r="K45" s="1416"/>
      <c r="L45" s="1416"/>
      <c r="M45" s="1417"/>
    </row>
    <row r="46" spans="1:15" x14ac:dyDescent="0.3">
      <c r="A46" s="300"/>
      <c r="B46" s="301"/>
      <c r="C46" s="301"/>
      <c r="D46" s="301"/>
      <c r="E46" s="301"/>
      <c r="F46" s="301"/>
      <c r="G46" s="301"/>
      <c r="H46" s="301"/>
      <c r="I46" s="303"/>
    </row>
    <row r="47" spans="1:15" x14ac:dyDescent="0.3">
      <c r="A47" s="300"/>
      <c r="B47" s="301"/>
      <c r="C47" s="301"/>
      <c r="D47" s="301"/>
      <c r="E47" s="301"/>
      <c r="F47" s="301"/>
      <c r="G47" s="301"/>
      <c r="H47" s="301"/>
      <c r="I47" s="303"/>
    </row>
    <row r="48" spans="1:15" x14ac:dyDescent="0.3">
      <c r="A48" s="300"/>
      <c r="B48" s="301"/>
      <c r="C48" s="301"/>
      <c r="D48" s="301"/>
      <c r="E48" s="301"/>
      <c r="F48" s="301"/>
      <c r="G48" s="301"/>
      <c r="H48" s="301"/>
      <c r="I48" s="303"/>
    </row>
    <row r="49" spans="1:249" s="261" customFormat="1" x14ac:dyDescent="0.3">
      <c r="A49" s="300"/>
      <c r="B49" s="301"/>
      <c r="C49" s="301"/>
      <c r="D49" s="301"/>
      <c r="E49" s="301"/>
      <c r="F49" s="301"/>
      <c r="G49" s="301"/>
      <c r="H49" s="301"/>
      <c r="I49" s="303"/>
      <c r="N49" s="217"/>
      <c r="O49" s="217"/>
      <c r="P49" s="217"/>
      <c r="Q49" s="217"/>
      <c r="R49" s="217"/>
      <c r="S49" s="217"/>
      <c r="T49" s="217"/>
      <c r="U49" s="217"/>
      <c r="V49" s="217"/>
      <c r="W49" s="217"/>
      <c r="X49" s="217"/>
      <c r="Y49" s="217"/>
      <c r="Z49" s="217"/>
      <c r="AA49" s="217"/>
      <c r="AB49" s="217"/>
      <c r="AC49" s="217"/>
      <c r="AD49" s="217"/>
      <c r="AE49" s="217"/>
      <c r="AF49" s="217"/>
      <c r="AG49" s="217"/>
      <c r="AH49" s="217"/>
      <c r="AI49" s="217"/>
      <c r="AJ49" s="217"/>
      <c r="AK49" s="217"/>
      <c r="AL49" s="217"/>
      <c r="AM49" s="217"/>
      <c r="AN49" s="217"/>
      <c r="AO49" s="217"/>
      <c r="AP49" s="217"/>
      <c r="AQ49" s="217"/>
      <c r="AR49" s="217"/>
      <c r="AS49" s="217"/>
      <c r="AT49" s="217"/>
      <c r="AU49" s="217"/>
      <c r="AV49" s="217"/>
      <c r="AW49" s="217"/>
      <c r="AX49" s="217"/>
      <c r="AY49" s="217"/>
      <c r="AZ49" s="217"/>
      <c r="BA49" s="217"/>
      <c r="BB49" s="217"/>
      <c r="BC49" s="217"/>
      <c r="BD49" s="217"/>
      <c r="BE49" s="217"/>
      <c r="BF49" s="217"/>
      <c r="BG49" s="217"/>
      <c r="BH49" s="217"/>
      <c r="BI49" s="217"/>
      <c r="BJ49" s="217"/>
      <c r="BK49" s="217"/>
      <c r="BL49" s="217"/>
      <c r="BM49" s="217"/>
      <c r="BN49" s="217"/>
      <c r="BO49" s="217"/>
      <c r="BP49" s="217"/>
      <c r="BQ49" s="217"/>
      <c r="BR49" s="217"/>
      <c r="BS49" s="217"/>
      <c r="BT49" s="217"/>
      <c r="BU49" s="217"/>
      <c r="BV49" s="217"/>
      <c r="BW49" s="217"/>
      <c r="BX49" s="217"/>
      <c r="BY49" s="217"/>
      <c r="BZ49" s="217"/>
      <c r="CA49" s="217"/>
      <c r="CB49" s="217"/>
      <c r="CC49" s="217"/>
      <c r="CD49" s="217"/>
      <c r="CE49" s="217"/>
      <c r="CF49" s="217"/>
      <c r="CG49" s="217"/>
      <c r="CH49" s="217"/>
      <c r="CI49" s="217"/>
      <c r="CJ49" s="217"/>
      <c r="CK49" s="217"/>
      <c r="CL49" s="217"/>
      <c r="CM49" s="217"/>
      <c r="CN49" s="217"/>
      <c r="CO49" s="217"/>
      <c r="CP49" s="217"/>
      <c r="CQ49" s="217"/>
      <c r="CR49" s="217"/>
      <c r="CS49" s="217"/>
      <c r="CT49" s="217"/>
      <c r="CU49" s="217"/>
      <c r="CV49" s="217"/>
      <c r="CW49" s="217"/>
      <c r="CX49" s="217"/>
      <c r="CY49" s="217"/>
      <c r="CZ49" s="217"/>
      <c r="DA49" s="217"/>
      <c r="DB49" s="217"/>
      <c r="DC49" s="217"/>
      <c r="DD49" s="217"/>
      <c r="DE49" s="217"/>
      <c r="DF49" s="217"/>
      <c r="DG49" s="217"/>
      <c r="DH49" s="217"/>
      <c r="DI49" s="217"/>
      <c r="DJ49" s="217"/>
      <c r="DK49" s="217"/>
      <c r="DL49" s="217"/>
      <c r="DM49" s="217"/>
      <c r="DN49" s="217"/>
      <c r="DO49" s="217"/>
      <c r="DP49" s="217"/>
      <c r="DQ49" s="217"/>
      <c r="DR49" s="217"/>
      <c r="DS49" s="217"/>
      <c r="DT49" s="217"/>
      <c r="DU49" s="217"/>
      <c r="DV49" s="217"/>
      <c r="DW49" s="217"/>
      <c r="DX49" s="217"/>
      <c r="DY49" s="217"/>
      <c r="DZ49" s="217"/>
      <c r="EA49" s="217"/>
      <c r="EB49" s="217"/>
      <c r="EC49" s="217"/>
      <c r="ED49" s="217"/>
      <c r="EE49" s="217"/>
      <c r="EF49" s="217"/>
      <c r="EG49" s="217"/>
      <c r="EH49" s="217"/>
      <c r="EI49" s="217"/>
      <c r="EJ49" s="217"/>
      <c r="EK49" s="217"/>
      <c r="EL49" s="217"/>
      <c r="EM49" s="217"/>
      <c r="EN49" s="217"/>
      <c r="EO49" s="217"/>
      <c r="EP49" s="217"/>
      <c r="EQ49" s="217"/>
      <c r="ER49" s="217"/>
      <c r="ES49" s="217"/>
      <c r="ET49" s="217"/>
      <c r="EU49" s="217"/>
      <c r="EV49" s="217"/>
      <c r="EW49" s="217"/>
      <c r="EX49" s="217"/>
      <c r="EY49" s="217"/>
      <c r="EZ49" s="217"/>
      <c r="FA49" s="217"/>
      <c r="FB49" s="217"/>
      <c r="FC49" s="217"/>
      <c r="FD49" s="217"/>
      <c r="FE49" s="217"/>
      <c r="FF49" s="217"/>
      <c r="FG49" s="217"/>
      <c r="FH49" s="217"/>
      <c r="FI49" s="217"/>
      <c r="FJ49" s="217"/>
      <c r="FK49" s="217"/>
      <c r="FL49" s="217"/>
      <c r="FM49" s="217"/>
      <c r="FN49" s="217"/>
      <c r="FO49" s="217"/>
      <c r="FP49" s="217"/>
      <c r="FQ49" s="217"/>
      <c r="FR49" s="217"/>
      <c r="FS49" s="217"/>
      <c r="FT49" s="217"/>
      <c r="FU49" s="217"/>
      <c r="FV49" s="217"/>
      <c r="FW49" s="217"/>
      <c r="FX49" s="217"/>
      <c r="FY49" s="217"/>
      <c r="FZ49" s="217"/>
      <c r="GA49" s="217"/>
      <c r="GB49" s="217"/>
      <c r="GC49" s="217"/>
      <c r="GD49" s="217"/>
      <c r="GE49" s="217"/>
      <c r="GF49" s="217"/>
      <c r="GG49" s="217"/>
      <c r="GH49" s="217"/>
      <c r="GI49" s="217"/>
      <c r="GJ49" s="217"/>
      <c r="GK49" s="217"/>
      <c r="GL49" s="217"/>
      <c r="GM49" s="217"/>
      <c r="GN49" s="217"/>
      <c r="GO49" s="217"/>
      <c r="GP49" s="217"/>
      <c r="GQ49" s="217"/>
      <c r="GR49" s="217"/>
      <c r="GS49" s="217"/>
      <c r="GT49" s="217"/>
      <c r="GU49" s="217"/>
      <c r="GV49" s="217"/>
      <c r="GW49" s="217"/>
      <c r="GX49" s="217"/>
      <c r="GY49" s="217"/>
      <c r="GZ49" s="217"/>
      <c r="HA49" s="217"/>
      <c r="HB49" s="217"/>
      <c r="HC49" s="217"/>
      <c r="HD49" s="217"/>
      <c r="HE49" s="217"/>
      <c r="HF49" s="217"/>
      <c r="HG49" s="217"/>
      <c r="HH49" s="217"/>
      <c r="HI49" s="217"/>
      <c r="HJ49" s="217"/>
      <c r="HK49" s="217"/>
      <c r="HL49" s="217"/>
      <c r="HM49" s="217"/>
      <c r="HN49" s="217"/>
      <c r="HO49" s="217"/>
      <c r="HP49" s="217"/>
      <c r="HQ49" s="217"/>
      <c r="HR49" s="217"/>
      <c r="HS49" s="217"/>
      <c r="HT49" s="217"/>
      <c r="HU49" s="217"/>
      <c r="HV49" s="217"/>
      <c r="HW49" s="217"/>
      <c r="HX49" s="217"/>
      <c r="HY49" s="217"/>
      <c r="HZ49" s="217"/>
      <c r="IA49" s="217"/>
      <c r="IB49" s="217"/>
      <c r="IC49" s="217"/>
      <c r="ID49" s="217"/>
      <c r="IE49" s="217"/>
      <c r="IF49" s="217"/>
      <c r="IG49" s="217"/>
      <c r="IH49" s="217"/>
      <c r="II49" s="217"/>
      <c r="IJ49" s="217"/>
      <c r="IK49" s="217"/>
      <c r="IL49" s="217"/>
      <c r="IM49" s="217"/>
      <c r="IN49" s="217"/>
      <c r="IO49" s="217"/>
    </row>
    <row r="50" spans="1:249" s="261" customFormat="1" x14ac:dyDescent="0.3">
      <c r="A50" s="300"/>
      <c r="B50" s="301"/>
      <c r="C50" s="301"/>
      <c r="D50" s="301"/>
      <c r="E50" s="301"/>
      <c r="F50" s="301"/>
      <c r="G50" s="301"/>
      <c r="H50" s="301"/>
      <c r="I50" s="303"/>
      <c r="N50" s="217"/>
      <c r="O50" s="217"/>
      <c r="P50" s="217"/>
      <c r="Q50" s="217"/>
      <c r="R50" s="217"/>
      <c r="S50" s="217"/>
      <c r="T50" s="217"/>
      <c r="U50" s="217"/>
      <c r="V50" s="217"/>
      <c r="W50" s="217"/>
      <c r="X50" s="217"/>
      <c r="Y50" s="217"/>
      <c r="Z50" s="217"/>
      <c r="AA50" s="217"/>
      <c r="AB50" s="217"/>
      <c r="AC50" s="217"/>
      <c r="AD50" s="217"/>
      <c r="AE50" s="217"/>
      <c r="AF50" s="217"/>
      <c r="AG50" s="217"/>
      <c r="AH50" s="217"/>
      <c r="AI50" s="217"/>
      <c r="AJ50" s="217"/>
      <c r="AK50" s="217"/>
      <c r="AL50" s="217"/>
      <c r="AM50" s="217"/>
      <c r="AN50" s="217"/>
      <c r="AO50" s="217"/>
      <c r="AP50" s="217"/>
      <c r="AQ50" s="217"/>
      <c r="AR50" s="217"/>
      <c r="AS50" s="217"/>
      <c r="AT50" s="217"/>
      <c r="AU50" s="217"/>
      <c r="AV50" s="217"/>
      <c r="AW50" s="217"/>
      <c r="AX50" s="217"/>
      <c r="AY50" s="217"/>
      <c r="AZ50" s="217"/>
      <c r="BA50" s="217"/>
      <c r="BB50" s="217"/>
      <c r="BC50" s="217"/>
      <c r="BD50" s="217"/>
      <c r="BE50" s="217"/>
      <c r="BF50" s="217"/>
      <c r="BG50" s="217"/>
      <c r="BH50" s="217"/>
      <c r="BI50" s="217"/>
      <c r="BJ50" s="217"/>
      <c r="BK50" s="217"/>
      <c r="BL50" s="217"/>
      <c r="BM50" s="217"/>
      <c r="BN50" s="217"/>
      <c r="BO50" s="217"/>
      <c r="BP50" s="217"/>
      <c r="BQ50" s="217"/>
      <c r="BR50" s="217"/>
      <c r="BS50" s="217"/>
      <c r="BT50" s="217"/>
      <c r="BU50" s="217"/>
      <c r="BV50" s="217"/>
      <c r="BW50" s="217"/>
      <c r="BX50" s="217"/>
      <c r="BY50" s="217"/>
      <c r="BZ50" s="217"/>
      <c r="CA50" s="217"/>
      <c r="CB50" s="217"/>
      <c r="CC50" s="217"/>
      <c r="CD50" s="217"/>
      <c r="CE50" s="217"/>
      <c r="CF50" s="217"/>
      <c r="CG50" s="217"/>
      <c r="CH50" s="217"/>
      <c r="CI50" s="217"/>
      <c r="CJ50" s="217"/>
      <c r="CK50" s="217"/>
      <c r="CL50" s="217"/>
      <c r="CM50" s="217"/>
      <c r="CN50" s="217"/>
      <c r="CO50" s="217"/>
      <c r="CP50" s="217"/>
      <c r="CQ50" s="217"/>
      <c r="CR50" s="217"/>
      <c r="CS50" s="217"/>
      <c r="CT50" s="217"/>
      <c r="CU50" s="217"/>
      <c r="CV50" s="217"/>
      <c r="CW50" s="217"/>
      <c r="CX50" s="217"/>
      <c r="CY50" s="217"/>
      <c r="CZ50" s="217"/>
      <c r="DA50" s="217"/>
      <c r="DB50" s="217"/>
      <c r="DC50" s="217"/>
      <c r="DD50" s="217"/>
      <c r="DE50" s="217"/>
      <c r="DF50" s="217"/>
      <c r="DG50" s="217"/>
      <c r="DH50" s="217"/>
      <c r="DI50" s="217"/>
      <c r="DJ50" s="217"/>
      <c r="DK50" s="217"/>
      <c r="DL50" s="217"/>
      <c r="DM50" s="217"/>
      <c r="DN50" s="217"/>
      <c r="DO50" s="217"/>
      <c r="DP50" s="217"/>
      <c r="DQ50" s="217"/>
      <c r="DR50" s="217"/>
      <c r="DS50" s="217"/>
      <c r="DT50" s="217"/>
      <c r="DU50" s="217"/>
      <c r="DV50" s="217"/>
      <c r="DW50" s="217"/>
      <c r="DX50" s="217"/>
      <c r="DY50" s="217"/>
      <c r="DZ50" s="217"/>
      <c r="EA50" s="217"/>
      <c r="EB50" s="217"/>
      <c r="EC50" s="217"/>
      <c r="ED50" s="217"/>
      <c r="EE50" s="217"/>
      <c r="EF50" s="217"/>
      <c r="EG50" s="217"/>
      <c r="EH50" s="217"/>
      <c r="EI50" s="217"/>
      <c r="EJ50" s="217"/>
      <c r="EK50" s="217"/>
      <c r="EL50" s="217"/>
      <c r="EM50" s="217"/>
      <c r="EN50" s="217"/>
      <c r="EO50" s="217"/>
      <c r="EP50" s="217"/>
      <c r="EQ50" s="217"/>
      <c r="ER50" s="217"/>
      <c r="ES50" s="217"/>
      <c r="ET50" s="217"/>
      <c r="EU50" s="217"/>
      <c r="EV50" s="217"/>
      <c r="EW50" s="217"/>
      <c r="EX50" s="217"/>
      <c r="EY50" s="217"/>
      <c r="EZ50" s="217"/>
      <c r="FA50" s="217"/>
      <c r="FB50" s="217"/>
      <c r="FC50" s="217"/>
      <c r="FD50" s="217"/>
      <c r="FE50" s="217"/>
      <c r="FF50" s="217"/>
      <c r="FG50" s="217"/>
      <c r="FH50" s="217"/>
      <c r="FI50" s="217"/>
      <c r="FJ50" s="217"/>
      <c r="FK50" s="217"/>
      <c r="FL50" s="217"/>
      <c r="FM50" s="217"/>
      <c r="FN50" s="217"/>
      <c r="FO50" s="217"/>
      <c r="FP50" s="217"/>
      <c r="FQ50" s="217"/>
      <c r="FR50" s="217"/>
      <c r="FS50" s="217"/>
      <c r="FT50" s="217"/>
      <c r="FU50" s="217"/>
      <c r="FV50" s="217"/>
      <c r="FW50" s="217"/>
      <c r="FX50" s="217"/>
      <c r="FY50" s="217"/>
      <c r="FZ50" s="217"/>
      <c r="GA50" s="217"/>
      <c r="GB50" s="217"/>
      <c r="GC50" s="217"/>
      <c r="GD50" s="217"/>
      <c r="GE50" s="217"/>
      <c r="GF50" s="217"/>
      <c r="GG50" s="217"/>
      <c r="GH50" s="217"/>
      <c r="GI50" s="217"/>
      <c r="GJ50" s="217"/>
      <c r="GK50" s="217"/>
      <c r="GL50" s="217"/>
      <c r="GM50" s="217"/>
      <c r="GN50" s="217"/>
      <c r="GO50" s="217"/>
      <c r="GP50" s="217"/>
      <c r="GQ50" s="217"/>
      <c r="GR50" s="217"/>
      <c r="GS50" s="217"/>
      <c r="GT50" s="217"/>
      <c r="GU50" s="217"/>
      <c r="GV50" s="217"/>
      <c r="GW50" s="217"/>
      <c r="GX50" s="217"/>
      <c r="GY50" s="217"/>
      <c r="GZ50" s="217"/>
      <c r="HA50" s="217"/>
      <c r="HB50" s="217"/>
      <c r="HC50" s="217"/>
      <c r="HD50" s="217"/>
      <c r="HE50" s="217"/>
      <c r="HF50" s="217"/>
      <c r="HG50" s="217"/>
      <c r="HH50" s="217"/>
      <c r="HI50" s="217"/>
      <c r="HJ50" s="217"/>
      <c r="HK50" s="217"/>
      <c r="HL50" s="217"/>
      <c r="HM50" s="217"/>
      <c r="HN50" s="217"/>
      <c r="HO50" s="217"/>
      <c r="HP50" s="217"/>
      <c r="HQ50" s="217"/>
      <c r="HR50" s="217"/>
      <c r="HS50" s="217"/>
      <c r="HT50" s="217"/>
      <c r="HU50" s="217"/>
      <c r="HV50" s="217"/>
      <c r="HW50" s="217"/>
      <c r="HX50" s="217"/>
      <c r="HY50" s="217"/>
      <c r="HZ50" s="217"/>
      <c r="IA50" s="217"/>
      <c r="IB50" s="217"/>
      <c r="IC50" s="217"/>
      <c r="ID50" s="217"/>
      <c r="IE50" s="217"/>
      <c r="IF50" s="217"/>
      <c r="IG50" s="217"/>
      <c r="IH50" s="217"/>
      <c r="II50" s="217"/>
      <c r="IJ50" s="217"/>
      <c r="IK50" s="217"/>
      <c r="IL50" s="217"/>
      <c r="IM50" s="217"/>
      <c r="IN50" s="217"/>
      <c r="IO50" s="217"/>
    </row>
    <row r="51" spans="1:249" s="261" customFormat="1" x14ac:dyDescent="0.3">
      <c r="B51" s="304"/>
      <c r="C51" s="304"/>
      <c r="D51" s="304"/>
      <c r="E51" s="304"/>
      <c r="F51" s="304"/>
      <c r="G51" s="304"/>
      <c r="H51" s="304"/>
      <c r="I51" s="260"/>
    </row>
    <row r="52" spans="1:249" s="261" customFormat="1" x14ac:dyDescent="0.3">
      <c r="B52" s="306"/>
      <c r="C52" s="306"/>
      <c r="D52" s="306"/>
      <c r="E52" s="306"/>
      <c r="F52" s="306"/>
      <c r="G52" s="306"/>
      <c r="H52" s="306"/>
      <c r="I52" s="260"/>
    </row>
    <row r="53" spans="1:249" s="261" customFormat="1" x14ac:dyDescent="0.3">
      <c r="B53" s="304"/>
      <c r="C53" s="304"/>
      <c r="D53" s="304"/>
      <c r="E53" s="304"/>
      <c r="F53" s="304"/>
      <c r="G53" s="304"/>
      <c r="H53" s="304"/>
      <c r="I53" s="260"/>
    </row>
    <row r="54" spans="1:249" s="261" customFormat="1" x14ac:dyDescent="0.3">
      <c r="I54" s="260"/>
    </row>
    <row r="55" spans="1:249" s="261" customFormat="1" x14ac:dyDescent="0.3">
      <c r="B55" s="309"/>
      <c r="C55" s="309"/>
      <c r="D55" s="309"/>
      <c r="E55" s="309"/>
      <c r="F55" s="309"/>
      <c r="G55" s="309"/>
      <c r="H55" s="309"/>
      <c r="I55" s="260"/>
    </row>
    <row r="56" spans="1:249" s="261" customFormat="1" x14ac:dyDescent="0.3">
      <c r="I56" s="260"/>
    </row>
    <row r="57" spans="1:249" s="261" customFormat="1" x14ac:dyDescent="0.3">
      <c r="B57" s="309"/>
      <c r="C57" s="309"/>
      <c r="D57" s="309"/>
      <c r="E57" s="309"/>
      <c r="F57" s="309"/>
      <c r="G57" s="309"/>
      <c r="H57" s="309"/>
      <c r="I57" s="260"/>
    </row>
    <row r="58" spans="1:249" s="261" customFormat="1" x14ac:dyDescent="0.3">
      <c r="B58" s="259"/>
      <c r="C58" s="259"/>
      <c r="D58" s="259"/>
      <c r="E58" s="259"/>
      <c r="F58" s="259"/>
      <c r="G58" s="259"/>
      <c r="H58" s="259"/>
      <c r="I58" s="260"/>
    </row>
    <row r="59" spans="1:249" s="261" customFormat="1" x14ac:dyDescent="0.3">
      <c r="B59" s="259"/>
      <c r="C59" s="259"/>
      <c r="D59" s="259"/>
      <c r="E59" s="259"/>
      <c r="F59" s="259"/>
      <c r="G59" s="259"/>
      <c r="H59" s="259"/>
      <c r="I59" s="260"/>
    </row>
  </sheetData>
  <mergeCells count="13">
    <mergeCell ref="M7:M9"/>
    <mergeCell ref="A7:A9"/>
    <mergeCell ref="B7:H7"/>
    <mergeCell ref="I7:I9"/>
    <mergeCell ref="J7:J9"/>
    <mergeCell ref="K7:K9"/>
    <mergeCell ref="L7:L9"/>
    <mergeCell ref="M2:M6"/>
    <mergeCell ref="A2:A6"/>
    <mergeCell ref="B2:H5"/>
    <mergeCell ref="I2:I6"/>
    <mergeCell ref="J2:K5"/>
    <mergeCell ref="L2:L6"/>
  </mergeCells>
  <pageMargins left="0.7" right="0.7" top="0.75" bottom="0.75" header="0.3" footer="0.3"/>
  <pageSetup paperSize="9" scale="57" orientation="portrait" r:id="rId1"/>
  <rowBreaks count="1" manualBreakCount="1">
    <brk id="46" max="12" man="1"/>
  </rowBreaks>
  <colBreaks count="1" manualBreakCount="1">
    <brk id="13" max="56" man="1"/>
  </colBreaks>
  <customProperties>
    <customPr name="EpmWorksheetKeyString_GUID" r:id="rId2"/>
  </customProperties>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055B82-CE5F-4163-88C1-89DD606BAA12}">
  <sheetPr>
    <tabColor rgb="FF00B050"/>
    <pageSetUpPr fitToPage="1"/>
  </sheetPr>
  <dimension ref="A1:IF43"/>
  <sheetViews>
    <sheetView tabSelected="1" zoomScaleNormal="100" workbookViewId="0">
      <selection activeCell="B13" sqref="B13"/>
    </sheetView>
  </sheetViews>
  <sheetFormatPr defaultColWidth="14.7265625" defaultRowHeight="13" x14ac:dyDescent="0.3"/>
  <cols>
    <col min="1" max="1" width="76.54296875" style="256" customWidth="1"/>
    <col min="2" max="2" width="5.54296875" style="259" customWidth="1"/>
    <col min="3" max="5" width="5.54296875" style="259" bestFit="1" customWidth="1"/>
    <col min="6" max="7" width="5.453125" style="259" bestFit="1" customWidth="1"/>
    <col min="8" max="8" width="5.54296875" style="259" bestFit="1" customWidth="1"/>
    <col min="9" max="232" width="8.7265625" style="217" customWidth="1"/>
    <col min="233" max="233" width="39.7265625" style="217" customWidth="1"/>
    <col min="234" max="236" width="6.1796875" style="217" customWidth="1"/>
    <col min="237" max="237" width="8.453125" style="217" bestFit="1" customWidth="1"/>
    <col min="238" max="238" width="12.54296875" style="217" bestFit="1" customWidth="1"/>
    <col min="239" max="239" width="27.26953125" style="217" bestFit="1" customWidth="1"/>
    <col min="240" max="240" width="9.1796875" style="217" customWidth="1"/>
    <col min="241" max="241" width="14.7265625" style="217"/>
    <col min="242" max="242" width="32.81640625" style="217" customWidth="1"/>
    <col min="243" max="246" width="5.54296875" style="217" customWidth="1"/>
    <col min="247" max="247" width="7" style="217" customWidth="1"/>
    <col min="248" max="255" width="5.54296875" style="217" customWidth="1"/>
    <col min="256" max="256" width="55" style="217" customWidth="1"/>
    <col min="257" max="257" width="8.7265625" style="217" customWidth="1"/>
    <col min="258" max="258" width="8.1796875" style="217" customWidth="1"/>
    <col min="259" max="259" width="7.1796875" style="217" customWidth="1"/>
    <col min="260" max="260" width="16.54296875" style="217" bestFit="1" customWidth="1"/>
    <col min="261" max="261" width="18.54296875" style="217" customWidth="1"/>
    <col min="262" max="488" width="8.7265625" style="217" customWidth="1"/>
    <col min="489" max="489" width="39.7265625" style="217" customWidth="1"/>
    <col min="490" max="492" width="6.1796875" style="217" customWidth="1"/>
    <col min="493" max="493" width="8.453125" style="217" bestFit="1" customWidth="1"/>
    <col min="494" max="494" width="12.54296875" style="217" bestFit="1" customWidth="1"/>
    <col min="495" max="495" width="27.26953125" style="217" bestFit="1" customWidth="1"/>
    <col min="496" max="496" width="9.1796875" style="217" customWidth="1"/>
    <col min="497" max="497" width="14.7265625" style="217"/>
    <col min="498" max="498" width="32.81640625" style="217" customWidth="1"/>
    <col min="499" max="502" width="5.54296875" style="217" customWidth="1"/>
    <col min="503" max="503" width="7" style="217" customWidth="1"/>
    <col min="504" max="511" width="5.54296875" style="217" customWidth="1"/>
    <col min="512" max="512" width="55" style="217" customWidth="1"/>
    <col min="513" max="513" width="8.7265625" style="217" customWidth="1"/>
    <col min="514" max="514" width="8.1796875" style="217" customWidth="1"/>
    <col min="515" max="515" width="7.1796875" style="217" customWidth="1"/>
    <col min="516" max="516" width="16.54296875" style="217" bestFit="1" customWidth="1"/>
    <col min="517" max="517" width="18.54296875" style="217" customWidth="1"/>
    <col min="518" max="744" width="8.7265625" style="217" customWidth="1"/>
    <col min="745" max="745" width="39.7265625" style="217" customWidth="1"/>
    <col min="746" max="748" width="6.1796875" style="217" customWidth="1"/>
    <col min="749" max="749" width="8.453125" style="217" bestFit="1" customWidth="1"/>
    <col min="750" max="750" width="12.54296875" style="217" bestFit="1" customWidth="1"/>
    <col min="751" max="751" width="27.26953125" style="217" bestFit="1" customWidth="1"/>
    <col min="752" max="752" width="9.1796875" style="217" customWidth="1"/>
    <col min="753" max="753" width="14.7265625" style="217"/>
    <col min="754" max="754" width="32.81640625" style="217" customWidth="1"/>
    <col min="755" max="758" width="5.54296875" style="217" customWidth="1"/>
    <col min="759" max="759" width="7" style="217" customWidth="1"/>
    <col min="760" max="767" width="5.54296875" style="217" customWidth="1"/>
    <col min="768" max="768" width="55" style="217" customWidth="1"/>
    <col min="769" max="769" width="8.7265625" style="217" customWidth="1"/>
    <col min="770" max="770" width="8.1796875" style="217" customWidth="1"/>
    <col min="771" max="771" width="7.1796875" style="217" customWidth="1"/>
    <col min="772" max="772" width="16.54296875" style="217" bestFit="1" customWidth="1"/>
    <col min="773" max="773" width="18.54296875" style="217" customWidth="1"/>
    <col min="774" max="1000" width="8.7265625" style="217" customWidth="1"/>
    <col min="1001" max="1001" width="39.7265625" style="217" customWidth="1"/>
    <col min="1002" max="1004" width="6.1796875" style="217" customWidth="1"/>
    <col min="1005" max="1005" width="8.453125" style="217" bestFit="1" customWidth="1"/>
    <col min="1006" max="1006" width="12.54296875" style="217" bestFit="1" customWidth="1"/>
    <col min="1007" max="1007" width="27.26953125" style="217" bestFit="1" customWidth="1"/>
    <col min="1008" max="1008" width="9.1796875" style="217" customWidth="1"/>
    <col min="1009" max="1009" width="14.7265625" style="217"/>
    <col min="1010" max="1010" width="32.81640625" style="217" customWidth="1"/>
    <col min="1011" max="1014" width="5.54296875" style="217" customWidth="1"/>
    <col min="1015" max="1015" width="7" style="217" customWidth="1"/>
    <col min="1016" max="1023" width="5.54296875" style="217" customWidth="1"/>
    <col min="1024" max="1024" width="55" style="217" customWidth="1"/>
    <col min="1025" max="1025" width="8.7265625" style="217" customWidth="1"/>
    <col min="1026" max="1026" width="8.1796875" style="217" customWidth="1"/>
    <col min="1027" max="1027" width="7.1796875" style="217" customWidth="1"/>
    <col min="1028" max="1028" width="16.54296875" style="217" bestFit="1" customWidth="1"/>
    <col min="1029" max="1029" width="18.54296875" style="217" customWidth="1"/>
    <col min="1030" max="1256" width="8.7265625" style="217" customWidth="1"/>
    <col min="1257" max="1257" width="39.7265625" style="217" customWidth="1"/>
    <col min="1258" max="1260" width="6.1796875" style="217" customWidth="1"/>
    <col min="1261" max="1261" width="8.453125" style="217" bestFit="1" customWidth="1"/>
    <col min="1262" max="1262" width="12.54296875" style="217" bestFit="1" customWidth="1"/>
    <col min="1263" max="1263" width="27.26953125" style="217" bestFit="1" customWidth="1"/>
    <col min="1264" max="1264" width="9.1796875" style="217" customWidth="1"/>
    <col min="1265" max="1265" width="14.7265625" style="217"/>
    <col min="1266" max="1266" width="32.81640625" style="217" customWidth="1"/>
    <col min="1267" max="1270" width="5.54296875" style="217" customWidth="1"/>
    <col min="1271" max="1271" width="7" style="217" customWidth="1"/>
    <col min="1272" max="1279" width="5.54296875" style="217" customWidth="1"/>
    <col min="1280" max="1280" width="55" style="217" customWidth="1"/>
    <col min="1281" max="1281" width="8.7265625" style="217" customWidth="1"/>
    <col min="1282" max="1282" width="8.1796875" style="217" customWidth="1"/>
    <col min="1283" max="1283" width="7.1796875" style="217" customWidth="1"/>
    <col min="1284" max="1284" width="16.54296875" style="217" bestFit="1" customWidth="1"/>
    <col min="1285" max="1285" width="18.54296875" style="217" customWidth="1"/>
    <col min="1286" max="1512" width="8.7265625" style="217" customWidth="1"/>
    <col min="1513" max="1513" width="39.7265625" style="217" customWidth="1"/>
    <col min="1514" max="1516" width="6.1796875" style="217" customWidth="1"/>
    <col min="1517" max="1517" width="8.453125" style="217" bestFit="1" customWidth="1"/>
    <col min="1518" max="1518" width="12.54296875" style="217" bestFit="1" customWidth="1"/>
    <col min="1519" max="1519" width="27.26953125" style="217" bestFit="1" customWidth="1"/>
    <col min="1520" max="1520" width="9.1796875" style="217" customWidth="1"/>
    <col min="1521" max="1521" width="14.7265625" style="217"/>
    <col min="1522" max="1522" width="32.81640625" style="217" customWidth="1"/>
    <col min="1523" max="1526" width="5.54296875" style="217" customWidth="1"/>
    <col min="1527" max="1527" width="7" style="217" customWidth="1"/>
    <col min="1528" max="1535" width="5.54296875" style="217" customWidth="1"/>
    <col min="1536" max="1536" width="55" style="217" customWidth="1"/>
    <col min="1537" max="1537" width="8.7265625" style="217" customWidth="1"/>
    <col min="1538" max="1538" width="8.1796875" style="217" customWidth="1"/>
    <col min="1539" max="1539" width="7.1796875" style="217" customWidth="1"/>
    <col min="1540" max="1540" width="16.54296875" style="217" bestFit="1" customWidth="1"/>
    <col min="1541" max="1541" width="18.54296875" style="217" customWidth="1"/>
    <col min="1542" max="1768" width="8.7265625" style="217" customWidth="1"/>
    <col min="1769" max="1769" width="39.7265625" style="217" customWidth="1"/>
    <col min="1770" max="1772" width="6.1796875" style="217" customWidth="1"/>
    <col min="1773" max="1773" width="8.453125" style="217" bestFit="1" customWidth="1"/>
    <col min="1774" max="1774" width="12.54296875" style="217" bestFit="1" customWidth="1"/>
    <col min="1775" max="1775" width="27.26953125" style="217" bestFit="1" customWidth="1"/>
    <col min="1776" max="1776" width="9.1796875" style="217" customWidth="1"/>
    <col min="1777" max="1777" width="14.7265625" style="217"/>
    <col min="1778" max="1778" width="32.81640625" style="217" customWidth="1"/>
    <col min="1779" max="1782" width="5.54296875" style="217" customWidth="1"/>
    <col min="1783" max="1783" width="7" style="217" customWidth="1"/>
    <col min="1784" max="1791" width="5.54296875" style="217" customWidth="1"/>
    <col min="1792" max="1792" width="55" style="217" customWidth="1"/>
    <col min="1793" max="1793" width="8.7265625" style="217" customWidth="1"/>
    <col min="1794" max="1794" width="8.1796875" style="217" customWidth="1"/>
    <col min="1795" max="1795" width="7.1796875" style="217" customWidth="1"/>
    <col min="1796" max="1796" width="16.54296875" style="217" bestFit="1" customWidth="1"/>
    <col min="1797" max="1797" width="18.54296875" style="217" customWidth="1"/>
    <col min="1798" max="2024" width="8.7265625" style="217" customWidth="1"/>
    <col min="2025" max="2025" width="39.7265625" style="217" customWidth="1"/>
    <col min="2026" max="2028" width="6.1796875" style="217" customWidth="1"/>
    <col min="2029" max="2029" width="8.453125" style="217" bestFit="1" customWidth="1"/>
    <col min="2030" max="2030" width="12.54296875" style="217" bestFit="1" customWidth="1"/>
    <col min="2031" max="2031" width="27.26953125" style="217" bestFit="1" customWidth="1"/>
    <col min="2032" max="2032" width="9.1796875" style="217" customWidth="1"/>
    <col min="2033" max="2033" width="14.7265625" style="217"/>
    <col min="2034" max="2034" width="32.81640625" style="217" customWidth="1"/>
    <col min="2035" max="2038" width="5.54296875" style="217" customWidth="1"/>
    <col min="2039" max="2039" width="7" style="217" customWidth="1"/>
    <col min="2040" max="2047" width="5.54296875" style="217" customWidth="1"/>
    <col min="2048" max="2048" width="55" style="217" customWidth="1"/>
    <col min="2049" max="2049" width="8.7265625" style="217" customWidth="1"/>
    <col min="2050" max="2050" width="8.1796875" style="217" customWidth="1"/>
    <col min="2051" max="2051" width="7.1796875" style="217" customWidth="1"/>
    <col min="2052" max="2052" width="16.54296875" style="217" bestFit="1" customWidth="1"/>
    <col min="2053" max="2053" width="18.54296875" style="217" customWidth="1"/>
    <col min="2054" max="2280" width="8.7265625" style="217" customWidth="1"/>
    <col min="2281" max="2281" width="39.7265625" style="217" customWidth="1"/>
    <col min="2282" max="2284" width="6.1796875" style="217" customWidth="1"/>
    <col min="2285" max="2285" width="8.453125" style="217" bestFit="1" customWidth="1"/>
    <col min="2286" max="2286" width="12.54296875" style="217" bestFit="1" customWidth="1"/>
    <col min="2287" max="2287" width="27.26953125" style="217" bestFit="1" customWidth="1"/>
    <col min="2288" max="2288" width="9.1796875" style="217" customWidth="1"/>
    <col min="2289" max="2289" width="14.7265625" style="217"/>
    <col min="2290" max="2290" width="32.81640625" style="217" customWidth="1"/>
    <col min="2291" max="2294" width="5.54296875" style="217" customWidth="1"/>
    <col min="2295" max="2295" width="7" style="217" customWidth="1"/>
    <col min="2296" max="2303" width="5.54296875" style="217" customWidth="1"/>
    <col min="2304" max="2304" width="55" style="217" customWidth="1"/>
    <col min="2305" max="2305" width="8.7265625" style="217" customWidth="1"/>
    <col min="2306" max="2306" width="8.1796875" style="217" customWidth="1"/>
    <col min="2307" max="2307" width="7.1796875" style="217" customWidth="1"/>
    <col min="2308" max="2308" width="16.54296875" style="217" bestFit="1" customWidth="1"/>
    <col min="2309" max="2309" width="18.54296875" style="217" customWidth="1"/>
    <col min="2310" max="2536" width="8.7265625" style="217" customWidth="1"/>
    <col min="2537" max="2537" width="39.7265625" style="217" customWidth="1"/>
    <col min="2538" max="2540" width="6.1796875" style="217" customWidth="1"/>
    <col min="2541" max="2541" width="8.453125" style="217" bestFit="1" customWidth="1"/>
    <col min="2542" max="2542" width="12.54296875" style="217" bestFit="1" customWidth="1"/>
    <col min="2543" max="2543" width="27.26953125" style="217" bestFit="1" customWidth="1"/>
    <col min="2544" max="2544" width="9.1796875" style="217" customWidth="1"/>
    <col min="2545" max="2545" width="14.7265625" style="217"/>
    <col min="2546" max="2546" width="32.81640625" style="217" customWidth="1"/>
    <col min="2547" max="2550" width="5.54296875" style="217" customWidth="1"/>
    <col min="2551" max="2551" width="7" style="217" customWidth="1"/>
    <col min="2552" max="2559" width="5.54296875" style="217" customWidth="1"/>
    <col min="2560" max="2560" width="55" style="217" customWidth="1"/>
    <col min="2561" max="2561" width="8.7265625" style="217" customWidth="1"/>
    <col min="2562" max="2562" width="8.1796875" style="217" customWidth="1"/>
    <col min="2563" max="2563" width="7.1796875" style="217" customWidth="1"/>
    <col min="2564" max="2564" width="16.54296875" style="217" bestFit="1" customWidth="1"/>
    <col min="2565" max="2565" width="18.54296875" style="217" customWidth="1"/>
    <col min="2566" max="2792" width="8.7265625" style="217" customWidth="1"/>
    <col min="2793" max="2793" width="39.7265625" style="217" customWidth="1"/>
    <col min="2794" max="2796" width="6.1796875" style="217" customWidth="1"/>
    <col min="2797" max="2797" width="8.453125" style="217" bestFit="1" customWidth="1"/>
    <col min="2798" max="2798" width="12.54296875" style="217" bestFit="1" customWidth="1"/>
    <col min="2799" max="2799" width="27.26953125" style="217" bestFit="1" customWidth="1"/>
    <col min="2800" max="2800" width="9.1796875" style="217" customWidth="1"/>
    <col min="2801" max="2801" width="14.7265625" style="217"/>
    <col min="2802" max="2802" width="32.81640625" style="217" customWidth="1"/>
    <col min="2803" max="2806" width="5.54296875" style="217" customWidth="1"/>
    <col min="2807" max="2807" width="7" style="217" customWidth="1"/>
    <col min="2808" max="2815" width="5.54296875" style="217" customWidth="1"/>
    <col min="2816" max="2816" width="55" style="217" customWidth="1"/>
    <col min="2817" max="2817" width="8.7265625" style="217" customWidth="1"/>
    <col min="2818" max="2818" width="8.1796875" style="217" customWidth="1"/>
    <col min="2819" max="2819" width="7.1796875" style="217" customWidth="1"/>
    <col min="2820" max="2820" width="16.54296875" style="217" bestFit="1" customWidth="1"/>
    <col min="2821" max="2821" width="18.54296875" style="217" customWidth="1"/>
    <col min="2822" max="3048" width="8.7265625" style="217" customWidth="1"/>
    <col min="3049" max="3049" width="39.7265625" style="217" customWidth="1"/>
    <col min="3050" max="3052" width="6.1796875" style="217" customWidth="1"/>
    <col min="3053" max="3053" width="8.453125" style="217" bestFit="1" customWidth="1"/>
    <col min="3054" max="3054" width="12.54296875" style="217" bestFit="1" customWidth="1"/>
    <col min="3055" max="3055" width="27.26953125" style="217" bestFit="1" customWidth="1"/>
    <col min="3056" max="3056" width="9.1796875" style="217" customWidth="1"/>
    <col min="3057" max="3057" width="14.7265625" style="217"/>
    <col min="3058" max="3058" width="32.81640625" style="217" customWidth="1"/>
    <col min="3059" max="3062" width="5.54296875" style="217" customWidth="1"/>
    <col min="3063" max="3063" width="7" style="217" customWidth="1"/>
    <col min="3064" max="3071" width="5.54296875" style="217" customWidth="1"/>
    <col min="3072" max="3072" width="55" style="217" customWidth="1"/>
    <col min="3073" max="3073" width="8.7265625" style="217" customWidth="1"/>
    <col min="3074" max="3074" width="8.1796875" style="217" customWidth="1"/>
    <col min="3075" max="3075" width="7.1796875" style="217" customWidth="1"/>
    <col min="3076" max="3076" width="16.54296875" style="217" bestFit="1" customWidth="1"/>
    <col min="3077" max="3077" width="18.54296875" style="217" customWidth="1"/>
    <col min="3078" max="3304" width="8.7265625" style="217" customWidth="1"/>
    <col min="3305" max="3305" width="39.7265625" style="217" customWidth="1"/>
    <col min="3306" max="3308" width="6.1796875" style="217" customWidth="1"/>
    <col min="3309" max="3309" width="8.453125" style="217" bestFit="1" customWidth="1"/>
    <col min="3310" max="3310" width="12.54296875" style="217" bestFit="1" customWidth="1"/>
    <col min="3311" max="3311" width="27.26953125" style="217" bestFit="1" customWidth="1"/>
    <col min="3312" max="3312" width="9.1796875" style="217" customWidth="1"/>
    <col min="3313" max="3313" width="14.7265625" style="217"/>
    <col min="3314" max="3314" width="32.81640625" style="217" customWidth="1"/>
    <col min="3315" max="3318" width="5.54296875" style="217" customWidth="1"/>
    <col min="3319" max="3319" width="7" style="217" customWidth="1"/>
    <col min="3320" max="3327" width="5.54296875" style="217" customWidth="1"/>
    <col min="3328" max="3328" width="55" style="217" customWidth="1"/>
    <col min="3329" max="3329" width="8.7265625" style="217" customWidth="1"/>
    <col min="3330" max="3330" width="8.1796875" style="217" customWidth="1"/>
    <col min="3331" max="3331" width="7.1796875" style="217" customWidth="1"/>
    <col min="3332" max="3332" width="16.54296875" style="217" bestFit="1" customWidth="1"/>
    <col min="3333" max="3333" width="18.54296875" style="217" customWidth="1"/>
    <col min="3334" max="3560" width="8.7265625" style="217" customWidth="1"/>
    <col min="3561" max="3561" width="39.7265625" style="217" customWidth="1"/>
    <col min="3562" max="3564" width="6.1796875" style="217" customWidth="1"/>
    <col min="3565" max="3565" width="8.453125" style="217" bestFit="1" customWidth="1"/>
    <col min="3566" max="3566" width="12.54296875" style="217" bestFit="1" customWidth="1"/>
    <col min="3567" max="3567" width="27.26953125" style="217" bestFit="1" customWidth="1"/>
    <col min="3568" max="3568" width="9.1796875" style="217" customWidth="1"/>
    <col min="3569" max="3569" width="14.7265625" style="217"/>
    <col min="3570" max="3570" width="32.81640625" style="217" customWidth="1"/>
    <col min="3571" max="3574" width="5.54296875" style="217" customWidth="1"/>
    <col min="3575" max="3575" width="7" style="217" customWidth="1"/>
    <col min="3576" max="3583" width="5.54296875" style="217" customWidth="1"/>
    <col min="3584" max="3584" width="55" style="217" customWidth="1"/>
    <col min="3585" max="3585" width="8.7265625" style="217" customWidth="1"/>
    <col min="3586" max="3586" width="8.1796875" style="217" customWidth="1"/>
    <col min="3587" max="3587" width="7.1796875" style="217" customWidth="1"/>
    <col min="3588" max="3588" width="16.54296875" style="217" bestFit="1" customWidth="1"/>
    <col min="3589" max="3589" width="18.54296875" style="217" customWidth="1"/>
    <col min="3590" max="3816" width="8.7265625" style="217" customWidth="1"/>
    <col min="3817" max="3817" width="39.7265625" style="217" customWidth="1"/>
    <col min="3818" max="3820" width="6.1796875" style="217" customWidth="1"/>
    <col min="3821" max="3821" width="8.453125" style="217" bestFit="1" customWidth="1"/>
    <col min="3822" max="3822" width="12.54296875" style="217" bestFit="1" customWidth="1"/>
    <col min="3823" max="3823" width="27.26953125" style="217" bestFit="1" customWidth="1"/>
    <col min="3824" max="3824" width="9.1796875" style="217" customWidth="1"/>
    <col min="3825" max="3825" width="14.7265625" style="217"/>
    <col min="3826" max="3826" width="32.81640625" style="217" customWidth="1"/>
    <col min="3827" max="3830" width="5.54296875" style="217" customWidth="1"/>
    <col min="3831" max="3831" width="7" style="217" customWidth="1"/>
    <col min="3832" max="3839" width="5.54296875" style="217" customWidth="1"/>
    <col min="3840" max="3840" width="55" style="217" customWidth="1"/>
    <col min="3841" max="3841" width="8.7265625" style="217" customWidth="1"/>
    <col min="3842" max="3842" width="8.1796875" style="217" customWidth="1"/>
    <col min="3843" max="3843" width="7.1796875" style="217" customWidth="1"/>
    <col min="3844" max="3844" width="16.54296875" style="217" bestFit="1" customWidth="1"/>
    <col min="3845" max="3845" width="18.54296875" style="217" customWidth="1"/>
    <col min="3846" max="4072" width="8.7265625" style="217" customWidth="1"/>
    <col min="4073" max="4073" width="39.7265625" style="217" customWidth="1"/>
    <col min="4074" max="4076" width="6.1796875" style="217" customWidth="1"/>
    <col min="4077" max="4077" width="8.453125" style="217" bestFit="1" customWidth="1"/>
    <col min="4078" max="4078" width="12.54296875" style="217" bestFit="1" customWidth="1"/>
    <col min="4079" max="4079" width="27.26953125" style="217" bestFit="1" customWidth="1"/>
    <col min="4080" max="4080" width="9.1796875" style="217" customWidth="1"/>
    <col min="4081" max="4081" width="14.7265625" style="217"/>
    <col min="4082" max="4082" width="32.81640625" style="217" customWidth="1"/>
    <col min="4083" max="4086" width="5.54296875" style="217" customWidth="1"/>
    <col min="4087" max="4087" width="7" style="217" customWidth="1"/>
    <col min="4088" max="4095" width="5.54296875" style="217" customWidth="1"/>
    <col min="4096" max="4096" width="55" style="217" customWidth="1"/>
    <col min="4097" max="4097" width="8.7265625" style="217" customWidth="1"/>
    <col min="4098" max="4098" width="8.1796875" style="217" customWidth="1"/>
    <col min="4099" max="4099" width="7.1796875" style="217" customWidth="1"/>
    <col min="4100" max="4100" width="16.54296875" style="217" bestFit="1" customWidth="1"/>
    <col min="4101" max="4101" width="18.54296875" style="217" customWidth="1"/>
    <col min="4102" max="4328" width="8.7265625" style="217" customWidth="1"/>
    <col min="4329" max="4329" width="39.7265625" style="217" customWidth="1"/>
    <col min="4330" max="4332" width="6.1796875" style="217" customWidth="1"/>
    <col min="4333" max="4333" width="8.453125" style="217" bestFit="1" customWidth="1"/>
    <col min="4334" max="4334" width="12.54296875" style="217" bestFit="1" customWidth="1"/>
    <col min="4335" max="4335" width="27.26953125" style="217" bestFit="1" customWidth="1"/>
    <col min="4336" max="4336" width="9.1796875" style="217" customWidth="1"/>
    <col min="4337" max="4337" width="14.7265625" style="217"/>
    <col min="4338" max="4338" width="32.81640625" style="217" customWidth="1"/>
    <col min="4339" max="4342" width="5.54296875" style="217" customWidth="1"/>
    <col min="4343" max="4343" width="7" style="217" customWidth="1"/>
    <col min="4344" max="4351" width="5.54296875" style="217" customWidth="1"/>
    <col min="4352" max="4352" width="55" style="217" customWidth="1"/>
    <col min="4353" max="4353" width="8.7265625" style="217" customWidth="1"/>
    <col min="4354" max="4354" width="8.1796875" style="217" customWidth="1"/>
    <col min="4355" max="4355" width="7.1796875" style="217" customWidth="1"/>
    <col min="4356" max="4356" width="16.54296875" style="217" bestFit="1" customWidth="1"/>
    <col min="4357" max="4357" width="18.54296875" style="217" customWidth="1"/>
    <col min="4358" max="4584" width="8.7265625" style="217" customWidth="1"/>
    <col min="4585" max="4585" width="39.7265625" style="217" customWidth="1"/>
    <col min="4586" max="4588" width="6.1796875" style="217" customWidth="1"/>
    <col min="4589" max="4589" width="8.453125" style="217" bestFit="1" customWidth="1"/>
    <col min="4590" max="4590" width="12.54296875" style="217" bestFit="1" customWidth="1"/>
    <col min="4591" max="4591" width="27.26953125" style="217" bestFit="1" customWidth="1"/>
    <col min="4592" max="4592" width="9.1796875" style="217" customWidth="1"/>
    <col min="4593" max="4593" width="14.7265625" style="217"/>
    <col min="4594" max="4594" width="32.81640625" style="217" customWidth="1"/>
    <col min="4595" max="4598" width="5.54296875" style="217" customWidth="1"/>
    <col min="4599" max="4599" width="7" style="217" customWidth="1"/>
    <col min="4600" max="4607" width="5.54296875" style="217" customWidth="1"/>
    <col min="4608" max="4608" width="55" style="217" customWidth="1"/>
    <col min="4609" max="4609" width="8.7265625" style="217" customWidth="1"/>
    <col min="4610" max="4610" width="8.1796875" style="217" customWidth="1"/>
    <col min="4611" max="4611" width="7.1796875" style="217" customWidth="1"/>
    <col min="4612" max="4612" width="16.54296875" style="217" bestFit="1" customWidth="1"/>
    <col min="4613" max="4613" width="18.54296875" style="217" customWidth="1"/>
    <col min="4614" max="4840" width="8.7265625" style="217" customWidth="1"/>
    <col min="4841" max="4841" width="39.7265625" style="217" customWidth="1"/>
    <col min="4842" max="4844" width="6.1796875" style="217" customWidth="1"/>
    <col min="4845" max="4845" width="8.453125" style="217" bestFit="1" customWidth="1"/>
    <col min="4846" max="4846" width="12.54296875" style="217" bestFit="1" customWidth="1"/>
    <col min="4847" max="4847" width="27.26953125" style="217" bestFit="1" customWidth="1"/>
    <col min="4848" max="4848" width="9.1796875" style="217" customWidth="1"/>
    <col min="4849" max="4849" width="14.7265625" style="217"/>
    <col min="4850" max="4850" width="32.81640625" style="217" customWidth="1"/>
    <col min="4851" max="4854" width="5.54296875" style="217" customWidth="1"/>
    <col min="4855" max="4855" width="7" style="217" customWidth="1"/>
    <col min="4856" max="4863" width="5.54296875" style="217" customWidth="1"/>
    <col min="4864" max="4864" width="55" style="217" customWidth="1"/>
    <col min="4865" max="4865" width="8.7265625" style="217" customWidth="1"/>
    <col min="4866" max="4866" width="8.1796875" style="217" customWidth="1"/>
    <col min="4867" max="4867" width="7.1796875" style="217" customWidth="1"/>
    <col min="4868" max="4868" width="16.54296875" style="217" bestFit="1" customWidth="1"/>
    <col min="4869" max="4869" width="18.54296875" style="217" customWidth="1"/>
    <col min="4870" max="5096" width="8.7265625" style="217" customWidth="1"/>
    <col min="5097" max="5097" width="39.7265625" style="217" customWidth="1"/>
    <col min="5098" max="5100" width="6.1796875" style="217" customWidth="1"/>
    <col min="5101" max="5101" width="8.453125" style="217" bestFit="1" customWidth="1"/>
    <col min="5102" max="5102" width="12.54296875" style="217" bestFit="1" customWidth="1"/>
    <col min="5103" max="5103" width="27.26953125" style="217" bestFit="1" customWidth="1"/>
    <col min="5104" max="5104" width="9.1796875" style="217" customWidth="1"/>
    <col min="5105" max="5105" width="14.7265625" style="217"/>
    <col min="5106" max="5106" width="32.81640625" style="217" customWidth="1"/>
    <col min="5107" max="5110" width="5.54296875" style="217" customWidth="1"/>
    <col min="5111" max="5111" width="7" style="217" customWidth="1"/>
    <col min="5112" max="5119" width="5.54296875" style="217" customWidth="1"/>
    <col min="5120" max="5120" width="55" style="217" customWidth="1"/>
    <col min="5121" max="5121" width="8.7265625" style="217" customWidth="1"/>
    <col min="5122" max="5122" width="8.1796875" style="217" customWidth="1"/>
    <col min="5123" max="5123" width="7.1796875" style="217" customWidth="1"/>
    <col min="5124" max="5124" width="16.54296875" style="217" bestFit="1" customWidth="1"/>
    <col min="5125" max="5125" width="18.54296875" style="217" customWidth="1"/>
    <col min="5126" max="5352" width="8.7265625" style="217" customWidth="1"/>
    <col min="5353" max="5353" width="39.7265625" style="217" customWidth="1"/>
    <col min="5354" max="5356" width="6.1796875" style="217" customWidth="1"/>
    <col min="5357" max="5357" width="8.453125" style="217" bestFit="1" customWidth="1"/>
    <col min="5358" max="5358" width="12.54296875" style="217" bestFit="1" customWidth="1"/>
    <col min="5359" max="5359" width="27.26953125" style="217" bestFit="1" customWidth="1"/>
    <col min="5360" max="5360" width="9.1796875" style="217" customWidth="1"/>
    <col min="5361" max="5361" width="14.7265625" style="217"/>
    <col min="5362" max="5362" width="32.81640625" style="217" customWidth="1"/>
    <col min="5363" max="5366" width="5.54296875" style="217" customWidth="1"/>
    <col min="5367" max="5367" width="7" style="217" customWidth="1"/>
    <col min="5368" max="5375" width="5.54296875" style="217" customWidth="1"/>
    <col min="5376" max="5376" width="55" style="217" customWidth="1"/>
    <col min="5377" max="5377" width="8.7265625" style="217" customWidth="1"/>
    <col min="5378" max="5378" width="8.1796875" style="217" customWidth="1"/>
    <col min="5379" max="5379" width="7.1796875" style="217" customWidth="1"/>
    <col min="5380" max="5380" width="16.54296875" style="217" bestFit="1" customWidth="1"/>
    <col min="5381" max="5381" width="18.54296875" style="217" customWidth="1"/>
    <col min="5382" max="5608" width="8.7265625" style="217" customWidth="1"/>
    <col min="5609" max="5609" width="39.7265625" style="217" customWidth="1"/>
    <col min="5610" max="5612" width="6.1796875" style="217" customWidth="1"/>
    <col min="5613" max="5613" width="8.453125" style="217" bestFit="1" customWidth="1"/>
    <col min="5614" max="5614" width="12.54296875" style="217" bestFit="1" customWidth="1"/>
    <col min="5615" max="5615" width="27.26953125" style="217" bestFit="1" customWidth="1"/>
    <col min="5616" max="5616" width="9.1796875" style="217" customWidth="1"/>
    <col min="5617" max="5617" width="14.7265625" style="217"/>
    <col min="5618" max="5618" width="32.81640625" style="217" customWidth="1"/>
    <col min="5619" max="5622" width="5.54296875" style="217" customWidth="1"/>
    <col min="5623" max="5623" width="7" style="217" customWidth="1"/>
    <col min="5624" max="5631" width="5.54296875" style="217" customWidth="1"/>
    <col min="5632" max="5632" width="55" style="217" customWidth="1"/>
    <col min="5633" max="5633" width="8.7265625" style="217" customWidth="1"/>
    <col min="5634" max="5634" width="8.1796875" style="217" customWidth="1"/>
    <col min="5635" max="5635" width="7.1796875" style="217" customWidth="1"/>
    <col min="5636" max="5636" width="16.54296875" style="217" bestFit="1" customWidth="1"/>
    <col min="5637" max="5637" width="18.54296875" style="217" customWidth="1"/>
    <col min="5638" max="5864" width="8.7265625" style="217" customWidth="1"/>
    <col min="5865" max="5865" width="39.7265625" style="217" customWidth="1"/>
    <col min="5866" max="5868" width="6.1796875" style="217" customWidth="1"/>
    <col min="5869" max="5869" width="8.453125" style="217" bestFit="1" customWidth="1"/>
    <col min="5870" max="5870" width="12.54296875" style="217" bestFit="1" customWidth="1"/>
    <col min="5871" max="5871" width="27.26953125" style="217" bestFit="1" customWidth="1"/>
    <col min="5872" max="5872" width="9.1796875" style="217" customWidth="1"/>
    <col min="5873" max="5873" width="14.7265625" style="217"/>
    <col min="5874" max="5874" width="32.81640625" style="217" customWidth="1"/>
    <col min="5875" max="5878" width="5.54296875" style="217" customWidth="1"/>
    <col min="5879" max="5879" width="7" style="217" customWidth="1"/>
    <col min="5880" max="5887" width="5.54296875" style="217" customWidth="1"/>
    <col min="5888" max="5888" width="55" style="217" customWidth="1"/>
    <col min="5889" max="5889" width="8.7265625" style="217" customWidth="1"/>
    <col min="5890" max="5890" width="8.1796875" style="217" customWidth="1"/>
    <col min="5891" max="5891" width="7.1796875" style="217" customWidth="1"/>
    <col min="5892" max="5892" width="16.54296875" style="217" bestFit="1" customWidth="1"/>
    <col min="5893" max="5893" width="18.54296875" style="217" customWidth="1"/>
    <col min="5894" max="6120" width="8.7265625" style="217" customWidth="1"/>
    <col min="6121" max="6121" width="39.7265625" style="217" customWidth="1"/>
    <col min="6122" max="6124" width="6.1796875" style="217" customWidth="1"/>
    <col min="6125" max="6125" width="8.453125" style="217" bestFit="1" customWidth="1"/>
    <col min="6126" max="6126" width="12.54296875" style="217" bestFit="1" customWidth="1"/>
    <col min="6127" max="6127" width="27.26953125" style="217" bestFit="1" customWidth="1"/>
    <col min="6128" max="6128" width="9.1796875" style="217" customWidth="1"/>
    <col min="6129" max="6129" width="14.7265625" style="217"/>
    <col min="6130" max="6130" width="32.81640625" style="217" customWidth="1"/>
    <col min="6131" max="6134" width="5.54296875" style="217" customWidth="1"/>
    <col min="6135" max="6135" width="7" style="217" customWidth="1"/>
    <col min="6136" max="6143" width="5.54296875" style="217" customWidth="1"/>
    <col min="6144" max="6144" width="55" style="217" customWidth="1"/>
    <col min="6145" max="6145" width="8.7265625" style="217" customWidth="1"/>
    <col min="6146" max="6146" width="8.1796875" style="217" customWidth="1"/>
    <col min="6147" max="6147" width="7.1796875" style="217" customWidth="1"/>
    <col min="6148" max="6148" width="16.54296875" style="217" bestFit="1" customWidth="1"/>
    <col min="6149" max="6149" width="18.54296875" style="217" customWidth="1"/>
    <col min="6150" max="6376" width="8.7265625" style="217" customWidth="1"/>
    <col min="6377" max="6377" width="39.7265625" style="217" customWidth="1"/>
    <col min="6378" max="6380" width="6.1796875" style="217" customWidth="1"/>
    <col min="6381" max="6381" width="8.453125" style="217" bestFit="1" customWidth="1"/>
    <col min="6382" max="6382" width="12.54296875" style="217" bestFit="1" customWidth="1"/>
    <col min="6383" max="6383" width="27.26953125" style="217" bestFit="1" customWidth="1"/>
    <col min="6384" max="6384" width="9.1796875" style="217" customWidth="1"/>
    <col min="6385" max="6385" width="14.7265625" style="217"/>
    <col min="6386" max="6386" width="32.81640625" style="217" customWidth="1"/>
    <col min="6387" max="6390" width="5.54296875" style="217" customWidth="1"/>
    <col min="6391" max="6391" width="7" style="217" customWidth="1"/>
    <col min="6392" max="6399" width="5.54296875" style="217" customWidth="1"/>
    <col min="6400" max="6400" width="55" style="217" customWidth="1"/>
    <col min="6401" max="6401" width="8.7265625" style="217" customWidth="1"/>
    <col min="6402" max="6402" width="8.1796875" style="217" customWidth="1"/>
    <col min="6403" max="6403" width="7.1796875" style="217" customWidth="1"/>
    <col min="6404" max="6404" width="16.54296875" style="217" bestFit="1" customWidth="1"/>
    <col min="6405" max="6405" width="18.54296875" style="217" customWidth="1"/>
    <col min="6406" max="6632" width="8.7265625" style="217" customWidth="1"/>
    <col min="6633" max="6633" width="39.7265625" style="217" customWidth="1"/>
    <col min="6634" max="6636" width="6.1796875" style="217" customWidth="1"/>
    <col min="6637" max="6637" width="8.453125" style="217" bestFit="1" customWidth="1"/>
    <col min="6638" max="6638" width="12.54296875" style="217" bestFit="1" customWidth="1"/>
    <col min="6639" max="6639" width="27.26953125" style="217" bestFit="1" customWidth="1"/>
    <col min="6640" max="6640" width="9.1796875" style="217" customWidth="1"/>
    <col min="6641" max="6641" width="14.7265625" style="217"/>
    <col min="6642" max="6642" width="32.81640625" style="217" customWidth="1"/>
    <col min="6643" max="6646" width="5.54296875" style="217" customWidth="1"/>
    <col min="6647" max="6647" width="7" style="217" customWidth="1"/>
    <col min="6648" max="6655" width="5.54296875" style="217" customWidth="1"/>
    <col min="6656" max="6656" width="55" style="217" customWidth="1"/>
    <col min="6657" max="6657" width="8.7265625" style="217" customWidth="1"/>
    <col min="6658" max="6658" width="8.1796875" style="217" customWidth="1"/>
    <col min="6659" max="6659" width="7.1796875" style="217" customWidth="1"/>
    <col min="6660" max="6660" width="16.54296875" style="217" bestFit="1" customWidth="1"/>
    <col min="6661" max="6661" width="18.54296875" style="217" customWidth="1"/>
    <col min="6662" max="6888" width="8.7265625" style="217" customWidth="1"/>
    <col min="6889" max="6889" width="39.7265625" style="217" customWidth="1"/>
    <col min="6890" max="6892" width="6.1796875" style="217" customWidth="1"/>
    <col min="6893" max="6893" width="8.453125" style="217" bestFit="1" customWidth="1"/>
    <col min="6894" max="6894" width="12.54296875" style="217" bestFit="1" customWidth="1"/>
    <col min="6895" max="6895" width="27.26953125" style="217" bestFit="1" customWidth="1"/>
    <col min="6896" max="6896" width="9.1796875" style="217" customWidth="1"/>
    <col min="6897" max="6897" width="14.7265625" style="217"/>
    <col min="6898" max="6898" width="32.81640625" style="217" customWidth="1"/>
    <col min="6899" max="6902" width="5.54296875" style="217" customWidth="1"/>
    <col min="6903" max="6903" width="7" style="217" customWidth="1"/>
    <col min="6904" max="6911" width="5.54296875" style="217" customWidth="1"/>
    <col min="6912" max="6912" width="55" style="217" customWidth="1"/>
    <col min="6913" max="6913" width="8.7265625" style="217" customWidth="1"/>
    <col min="6914" max="6914" width="8.1796875" style="217" customWidth="1"/>
    <col min="6915" max="6915" width="7.1796875" style="217" customWidth="1"/>
    <col min="6916" max="6916" width="16.54296875" style="217" bestFit="1" customWidth="1"/>
    <col min="6917" max="6917" width="18.54296875" style="217" customWidth="1"/>
    <col min="6918" max="7144" width="8.7265625" style="217" customWidth="1"/>
    <col min="7145" max="7145" width="39.7265625" style="217" customWidth="1"/>
    <col min="7146" max="7148" width="6.1796875" style="217" customWidth="1"/>
    <col min="7149" max="7149" width="8.453125" style="217" bestFit="1" customWidth="1"/>
    <col min="7150" max="7150" width="12.54296875" style="217" bestFit="1" customWidth="1"/>
    <col min="7151" max="7151" width="27.26953125" style="217" bestFit="1" customWidth="1"/>
    <col min="7152" max="7152" width="9.1796875" style="217" customWidth="1"/>
    <col min="7153" max="7153" width="14.7265625" style="217"/>
    <col min="7154" max="7154" width="32.81640625" style="217" customWidth="1"/>
    <col min="7155" max="7158" width="5.54296875" style="217" customWidth="1"/>
    <col min="7159" max="7159" width="7" style="217" customWidth="1"/>
    <col min="7160" max="7167" width="5.54296875" style="217" customWidth="1"/>
    <col min="7168" max="7168" width="55" style="217" customWidth="1"/>
    <col min="7169" max="7169" width="8.7265625" style="217" customWidth="1"/>
    <col min="7170" max="7170" width="8.1796875" style="217" customWidth="1"/>
    <col min="7171" max="7171" width="7.1796875" style="217" customWidth="1"/>
    <col min="7172" max="7172" width="16.54296875" style="217" bestFit="1" customWidth="1"/>
    <col min="7173" max="7173" width="18.54296875" style="217" customWidth="1"/>
    <col min="7174" max="7400" width="8.7265625" style="217" customWidth="1"/>
    <col min="7401" max="7401" width="39.7265625" style="217" customWidth="1"/>
    <col min="7402" max="7404" width="6.1796875" style="217" customWidth="1"/>
    <col min="7405" max="7405" width="8.453125" style="217" bestFit="1" customWidth="1"/>
    <col min="7406" max="7406" width="12.54296875" style="217" bestFit="1" customWidth="1"/>
    <col min="7407" max="7407" width="27.26953125" style="217" bestFit="1" customWidth="1"/>
    <col min="7408" max="7408" width="9.1796875" style="217" customWidth="1"/>
    <col min="7409" max="7409" width="14.7265625" style="217"/>
    <col min="7410" max="7410" width="32.81640625" style="217" customWidth="1"/>
    <col min="7411" max="7414" width="5.54296875" style="217" customWidth="1"/>
    <col min="7415" max="7415" width="7" style="217" customWidth="1"/>
    <col min="7416" max="7423" width="5.54296875" style="217" customWidth="1"/>
    <col min="7424" max="7424" width="55" style="217" customWidth="1"/>
    <col min="7425" max="7425" width="8.7265625" style="217" customWidth="1"/>
    <col min="7426" max="7426" width="8.1796875" style="217" customWidth="1"/>
    <col min="7427" max="7427" width="7.1796875" style="217" customWidth="1"/>
    <col min="7428" max="7428" width="16.54296875" style="217" bestFit="1" customWidth="1"/>
    <col min="7429" max="7429" width="18.54296875" style="217" customWidth="1"/>
    <col min="7430" max="7656" width="8.7265625" style="217" customWidth="1"/>
    <col min="7657" max="7657" width="39.7265625" style="217" customWidth="1"/>
    <col min="7658" max="7660" width="6.1796875" style="217" customWidth="1"/>
    <col min="7661" max="7661" width="8.453125" style="217" bestFit="1" customWidth="1"/>
    <col min="7662" max="7662" width="12.54296875" style="217" bestFit="1" customWidth="1"/>
    <col min="7663" max="7663" width="27.26953125" style="217" bestFit="1" customWidth="1"/>
    <col min="7664" max="7664" width="9.1796875" style="217" customWidth="1"/>
    <col min="7665" max="7665" width="14.7265625" style="217"/>
    <col min="7666" max="7666" width="32.81640625" style="217" customWidth="1"/>
    <col min="7667" max="7670" width="5.54296875" style="217" customWidth="1"/>
    <col min="7671" max="7671" width="7" style="217" customWidth="1"/>
    <col min="7672" max="7679" width="5.54296875" style="217" customWidth="1"/>
    <col min="7680" max="7680" width="55" style="217" customWidth="1"/>
    <col min="7681" max="7681" width="8.7265625" style="217" customWidth="1"/>
    <col min="7682" max="7682" width="8.1796875" style="217" customWidth="1"/>
    <col min="7683" max="7683" width="7.1796875" style="217" customWidth="1"/>
    <col min="7684" max="7684" width="16.54296875" style="217" bestFit="1" customWidth="1"/>
    <col min="7685" max="7685" width="18.54296875" style="217" customWidth="1"/>
    <col min="7686" max="7912" width="8.7265625" style="217" customWidth="1"/>
    <col min="7913" max="7913" width="39.7265625" style="217" customWidth="1"/>
    <col min="7914" max="7916" width="6.1796875" style="217" customWidth="1"/>
    <col min="7917" max="7917" width="8.453125" style="217" bestFit="1" customWidth="1"/>
    <col min="7918" max="7918" width="12.54296875" style="217" bestFit="1" customWidth="1"/>
    <col min="7919" max="7919" width="27.26953125" style="217" bestFit="1" customWidth="1"/>
    <col min="7920" max="7920" width="9.1796875" style="217" customWidth="1"/>
    <col min="7921" max="7921" width="14.7265625" style="217"/>
    <col min="7922" max="7922" width="32.81640625" style="217" customWidth="1"/>
    <col min="7923" max="7926" width="5.54296875" style="217" customWidth="1"/>
    <col min="7927" max="7927" width="7" style="217" customWidth="1"/>
    <col min="7928" max="7935" width="5.54296875" style="217" customWidth="1"/>
    <col min="7936" max="7936" width="55" style="217" customWidth="1"/>
    <col min="7937" max="7937" width="8.7265625" style="217" customWidth="1"/>
    <col min="7938" max="7938" width="8.1796875" style="217" customWidth="1"/>
    <col min="7939" max="7939" width="7.1796875" style="217" customWidth="1"/>
    <col min="7940" max="7940" width="16.54296875" style="217" bestFit="1" customWidth="1"/>
    <col min="7941" max="7941" width="18.54296875" style="217" customWidth="1"/>
    <col min="7942" max="8168" width="8.7265625" style="217" customWidth="1"/>
    <col min="8169" max="8169" width="39.7265625" style="217" customWidth="1"/>
    <col min="8170" max="8172" width="6.1796875" style="217" customWidth="1"/>
    <col min="8173" max="8173" width="8.453125" style="217" bestFit="1" customWidth="1"/>
    <col min="8174" max="8174" width="12.54296875" style="217" bestFit="1" customWidth="1"/>
    <col min="8175" max="8175" width="27.26953125" style="217" bestFit="1" customWidth="1"/>
    <col min="8176" max="8176" width="9.1796875" style="217" customWidth="1"/>
    <col min="8177" max="8177" width="14.7265625" style="217"/>
    <col min="8178" max="8178" width="32.81640625" style="217" customWidth="1"/>
    <col min="8179" max="8182" width="5.54296875" style="217" customWidth="1"/>
    <col min="8183" max="8183" width="7" style="217" customWidth="1"/>
    <col min="8184" max="8191" width="5.54296875" style="217" customWidth="1"/>
    <col min="8192" max="8192" width="55" style="217" customWidth="1"/>
    <col min="8193" max="8193" width="8.7265625" style="217" customWidth="1"/>
    <col min="8194" max="8194" width="8.1796875" style="217" customWidth="1"/>
    <col min="8195" max="8195" width="7.1796875" style="217" customWidth="1"/>
    <col min="8196" max="8196" width="16.54296875" style="217" bestFit="1" customWidth="1"/>
    <col min="8197" max="8197" width="18.54296875" style="217" customWidth="1"/>
    <col min="8198" max="8424" width="8.7265625" style="217" customWidth="1"/>
    <col min="8425" max="8425" width="39.7265625" style="217" customWidth="1"/>
    <col min="8426" max="8428" width="6.1796875" style="217" customWidth="1"/>
    <col min="8429" max="8429" width="8.453125" style="217" bestFit="1" customWidth="1"/>
    <col min="8430" max="8430" width="12.54296875" style="217" bestFit="1" customWidth="1"/>
    <col min="8431" max="8431" width="27.26953125" style="217" bestFit="1" customWidth="1"/>
    <col min="8432" max="8432" width="9.1796875" style="217" customWidth="1"/>
    <col min="8433" max="8433" width="14.7265625" style="217"/>
    <col min="8434" max="8434" width="32.81640625" style="217" customWidth="1"/>
    <col min="8435" max="8438" width="5.54296875" style="217" customWidth="1"/>
    <col min="8439" max="8439" width="7" style="217" customWidth="1"/>
    <col min="8440" max="8447" width="5.54296875" style="217" customWidth="1"/>
    <col min="8448" max="8448" width="55" style="217" customWidth="1"/>
    <col min="8449" max="8449" width="8.7265625" style="217" customWidth="1"/>
    <col min="8450" max="8450" width="8.1796875" style="217" customWidth="1"/>
    <col min="8451" max="8451" width="7.1796875" style="217" customWidth="1"/>
    <col min="8452" max="8452" width="16.54296875" style="217" bestFit="1" customWidth="1"/>
    <col min="8453" max="8453" width="18.54296875" style="217" customWidth="1"/>
    <col min="8454" max="8680" width="8.7265625" style="217" customWidth="1"/>
    <col min="8681" max="8681" width="39.7265625" style="217" customWidth="1"/>
    <col min="8682" max="8684" width="6.1796875" style="217" customWidth="1"/>
    <col min="8685" max="8685" width="8.453125" style="217" bestFit="1" customWidth="1"/>
    <col min="8686" max="8686" width="12.54296875" style="217" bestFit="1" customWidth="1"/>
    <col min="8687" max="8687" width="27.26953125" style="217" bestFit="1" customWidth="1"/>
    <col min="8688" max="8688" width="9.1796875" style="217" customWidth="1"/>
    <col min="8689" max="8689" width="14.7265625" style="217"/>
    <col min="8690" max="8690" width="32.81640625" style="217" customWidth="1"/>
    <col min="8691" max="8694" width="5.54296875" style="217" customWidth="1"/>
    <col min="8695" max="8695" width="7" style="217" customWidth="1"/>
    <col min="8696" max="8703" width="5.54296875" style="217" customWidth="1"/>
    <col min="8704" max="8704" width="55" style="217" customWidth="1"/>
    <col min="8705" max="8705" width="8.7265625" style="217" customWidth="1"/>
    <col min="8706" max="8706" width="8.1796875" style="217" customWidth="1"/>
    <col min="8707" max="8707" width="7.1796875" style="217" customWidth="1"/>
    <col min="8708" max="8708" width="16.54296875" style="217" bestFit="1" customWidth="1"/>
    <col min="8709" max="8709" width="18.54296875" style="217" customWidth="1"/>
    <col min="8710" max="8936" width="8.7265625" style="217" customWidth="1"/>
    <col min="8937" max="8937" width="39.7265625" style="217" customWidth="1"/>
    <col min="8938" max="8940" width="6.1796875" style="217" customWidth="1"/>
    <col min="8941" max="8941" width="8.453125" style="217" bestFit="1" customWidth="1"/>
    <col min="8942" max="8942" width="12.54296875" style="217" bestFit="1" customWidth="1"/>
    <col min="8943" max="8943" width="27.26953125" style="217" bestFit="1" customWidth="1"/>
    <col min="8944" max="8944" width="9.1796875" style="217" customWidth="1"/>
    <col min="8945" max="8945" width="14.7265625" style="217"/>
    <col min="8946" max="8946" width="32.81640625" style="217" customWidth="1"/>
    <col min="8947" max="8950" width="5.54296875" style="217" customWidth="1"/>
    <col min="8951" max="8951" width="7" style="217" customWidth="1"/>
    <col min="8952" max="8959" width="5.54296875" style="217" customWidth="1"/>
    <col min="8960" max="8960" width="55" style="217" customWidth="1"/>
    <col min="8961" max="8961" width="8.7265625" style="217" customWidth="1"/>
    <col min="8962" max="8962" width="8.1796875" style="217" customWidth="1"/>
    <col min="8963" max="8963" width="7.1796875" style="217" customWidth="1"/>
    <col min="8964" max="8964" width="16.54296875" style="217" bestFit="1" customWidth="1"/>
    <col min="8965" max="8965" width="18.54296875" style="217" customWidth="1"/>
    <col min="8966" max="9192" width="8.7265625" style="217" customWidth="1"/>
    <col min="9193" max="9193" width="39.7265625" style="217" customWidth="1"/>
    <col min="9194" max="9196" width="6.1796875" style="217" customWidth="1"/>
    <col min="9197" max="9197" width="8.453125" style="217" bestFit="1" customWidth="1"/>
    <col min="9198" max="9198" width="12.54296875" style="217" bestFit="1" customWidth="1"/>
    <col min="9199" max="9199" width="27.26953125" style="217" bestFit="1" customWidth="1"/>
    <col min="9200" max="9200" width="9.1796875" style="217" customWidth="1"/>
    <col min="9201" max="9201" width="14.7265625" style="217"/>
    <col min="9202" max="9202" width="32.81640625" style="217" customWidth="1"/>
    <col min="9203" max="9206" width="5.54296875" style="217" customWidth="1"/>
    <col min="9207" max="9207" width="7" style="217" customWidth="1"/>
    <col min="9208" max="9215" width="5.54296875" style="217" customWidth="1"/>
    <col min="9216" max="9216" width="55" style="217" customWidth="1"/>
    <col min="9217" max="9217" width="8.7265625" style="217" customWidth="1"/>
    <col min="9218" max="9218" width="8.1796875" style="217" customWidth="1"/>
    <col min="9219" max="9219" width="7.1796875" style="217" customWidth="1"/>
    <col min="9220" max="9220" width="16.54296875" style="217" bestFit="1" customWidth="1"/>
    <col min="9221" max="9221" width="18.54296875" style="217" customWidth="1"/>
    <col min="9222" max="9448" width="8.7265625" style="217" customWidth="1"/>
    <col min="9449" max="9449" width="39.7265625" style="217" customWidth="1"/>
    <col min="9450" max="9452" width="6.1796875" style="217" customWidth="1"/>
    <col min="9453" max="9453" width="8.453125" style="217" bestFit="1" customWidth="1"/>
    <col min="9454" max="9454" width="12.54296875" style="217" bestFit="1" customWidth="1"/>
    <col min="9455" max="9455" width="27.26953125" style="217" bestFit="1" customWidth="1"/>
    <col min="9456" max="9456" width="9.1796875" style="217" customWidth="1"/>
    <col min="9457" max="9457" width="14.7265625" style="217"/>
    <col min="9458" max="9458" width="32.81640625" style="217" customWidth="1"/>
    <col min="9459" max="9462" width="5.54296875" style="217" customWidth="1"/>
    <col min="9463" max="9463" width="7" style="217" customWidth="1"/>
    <col min="9464" max="9471" width="5.54296875" style="217" customWidth="1"/>
    <col min="9472" max="9472" width="55" style="217" customWidth="1"/>
    <col min="9473" max="9473" width="8.7265625" style="217" customWidth="1"/>
    <col min="9474" max="9474" width="8.1796875" style="217" customWidth="1"/>
    <col min="9475" max="9475" width="7.1796875" style="217" customWidth="1"/>
    <col min="9476" max="9476" width="16.54296875" style="217" bestFit="1" customWidth="1"/>
    <col min="9477" max="9477" width="18.54296875" style="217" customWidth="1"/>
    <col min="9478" max="9704" width="8.7265625" style="217" customWidth="1"/>
    <col min="9705" max="9705" width="39.7265625" style="217" customWidth="1"/>
    <col min="9706" max="9708" width="6.1796875" style="217" customWidth="1"/>
    <col min="9709" max="9709" width="8.453125" style="217" bestFit="1" customWidth="1"/>
    <col min="9710" max="9710" width="12.54296875" style="217" bestFit="1" customWidth="1"/>
    <col min="9711" max="9711" width="27.26953125" style="217" bestFit="1" customWidth="1"/>
    <col min="9712" max="9712" width="9.1796875" style="217" customWidth="1"/>
    <col min="9713" max="9713" width="14.7265625" style="217"/>
    <col min="9714" max="9714" width="32.81640625" style="217" customWidth="1"/>
    <col min="9715" max="9718" width="5.54296875" style="217" customWidth="1"/>
    <col min="9719" max="9719" width="7" style="217" customWidth="1"/>
    <col min="9720" max="9727" width="5.54296875" style="217" customWidth="1"/>
    <col min="9728" max="9728" width="55" style="217" customWidth="1"/>
    <col min="9729" max="9729" width="8.7265625" style="217" customWidth="1"/>
    <col min="9730" max="9730" width="8.1796875" style="217" customWidth="1"/>
    <col min="9731" max="9731" width="7.1796875" style="217" customWidth="1"/>
    <col min="9732" max="9732" width="16.54296875" style="217" bestFit="1" customWidth="1"/>
    <col min="9733" max="9733" width="18.54296875" style="217" customWidth="1"/>
    <col min="9734" max="9960" width="8.7265625" style="217" customWidth="1"/>
    <col min="9961" max="9961" width="39.7265625" style="217" customWidth="1"/>
    <col min="9962" max="9964" width="6.1796875" style="217" customWidth="1"/>
    <col min="9965" max="9965" width="8.453125" style="217" bestFit="1" customWidth="1"/>
    <col min="9966" max="9966" width="12.54296875" style="217" bestFit="1" customWidth="1"/>
    <col min="9967" max="9967" width="27.26953125" style="217" bestFit="1" customWidth="1"/>
    <col min="9968" max="9968" width="9.1796875" style="217" customWidth="1"/>
    <col min="9969" max="9969" width="14.7265625" style="217"/>
    <col min="9970" max="9970" width="32.81640625" style="217" customWidth="1"/>
    <col min="9971" max="9974" width="5.54296875" style="217" customWidth="1"/>
    <col min="9975" max="9975" width="7" style="217" customWidth="1"/>
    <col min="9976" max="9983" width="5.54296875" style="217" customWidth="1"/>
    <col min="9984" max="9984" width="55" style="217" customWidth="1"/>
    <col min="9985" max="9985" width="8.7265625" style="217" customWidth="1"/>
    <col min="9986" max="9986" width="8.1796875" style="217" customWidth="1"/>
    <col min="9987" max="9987" width="7.1796875" style="217" customWidth="1"/>
    <col min="9988" max="9988" width="16.54296875" style="217" bestFit="1" customWidth="1"/>
    <col min="9989" max="9989" width="18.54296875" style="217" customWidth="1"/>
    <col min="9990" max="10216" width="8.7265625" style="217" customWidth="1"/>
    <col min="10217" max="10217" width="39.7265625" style="217" customWidth="1"/>
    <col min="10218" max="10220" width="6.1796875" style="217" customWidth="1"/>
    <col min="10221" max="10221" width="8.453125" style="217" bestFit="1" customWidth="1"/>
    <col min="10222" max="10222" width="12.54296875" style="217" bestFit="1" customWidth="1"/>
    <col min="10223" max="10223" width="27.26953125" style="217" bestFit="1" customWidth="1"/>
    <col min="10224" max="10224" width="9.1796875" style="217" customWidth="1"/>
    <col min="10225" max="10225" width="14.7265625" style="217"/>
    <col min="10226" max="10226" width="32.81640625" style="217" customWidth="1"/>
    <col min="10227" max="10230" width="5.54296875" style="217" customWidth="1"/>
    <col min="10231" max="10231" width="7" style="217" customWidth="1"/>
    <col min="10232" max="10239" width="5.54296875" style="217" customWidth="1"/>
    <col min="10240" max="10240" width="55" style="217" customWidth="1"/>
    <col min="10241" max="10241" width="8.7265625" style="217" customWidth="1"/>
    <col min="10242" max="10242" width="8.1796875" style="217" customWidth="1"/>
    <col min="10243" max="10243" width="7.1796875" style="217" customWidth="1"/>
    <col min="10244" max="10244" width="16.54296875" style="217" bestFit="1" customWidth="1"/>
    <col min="10245" max="10245" width="18.54296875" style="217" customWidth="1"/>
    <col min="10246" max="10472" width="8.7265625" style="217" customWidth="1"/>
    <col min="10473" max="10473" width="39.7265625" style="217" customWidth="1"/>
    <col min="10474" max="10476" width="6.1796875" style="217" customWidth="1"/>
    <col min="10477" max="10477" width="8.453125" style="217" bestFit="1" customWidth="1"/>
    <col min="10478" max="10478" width="12.54296875" style="217" bestFit="1" customWidth="1"/>
    <col min="10479" max="10479" width="27.26953125" style="217" bestFit="1" customWidth="1"/>
    <col min="10480" max="10480" width="9.1796875" style="217" customWidth="1"/>
    <col min="10481" max="10481" width="14.7265625" style="217"/>
    <col min="10482" max="10482" width="32.81640625" style="217" customWidth="1"/>
    <col min="10483" max="10486" width="5.54296875" style="217" customWidth="1"/>
    <col min="10487" max="10487" width="7" style="217" customWidth="1"/>
    <col min="10488" max="10495" width="5.54296875" style="217" customWidth="1"/>
    <col min="10496" max="10496" width="55" style="217" customWidth="1"/>
    <col min="10497" max="10497" width="8.7265625" style="217" customWidth="1"/>
    <col min="10498" max="10498" width="8.1796875" style="217" customWidth="1"/>
    <col min="10499" max="10499" width="7.1796875" style="217" customWidth="1"/>
    <col min="10500" max="10500" width="16.54296875" style="217" bestFit="1" customWidth="1"/>
    <col min="10501" max="10501" width="18.54296875" style="217" customWidth="1"/>
    <col min="10502" max="10728" width="8.7265625" style="217" customWidth="1"/>
    <col min="10729" max="10729" width="39.7265625" style="217" customWidth="1"/>
    <col min="10730" max="10732" width="6.1796875" style="217" customWidth="1"/>
    <col min="10733" max="10733" width="8.453125" style="217" bestFit="1" customWidth="1"/>
    <col min="10734" max="10734" width="12.54296875" style="217" bestFit="1" customWidth="1"/>
    <col min="10735" max="10735" width="27.26953125" style="217" bestFit="1" customWidth="1"/>
    <col min="10736" max="10736" width="9.1796875" style="217" customWidth="1"/>
    <col min="10737" max="10737" width="14.7265625" style="217"/>
    <col min="10738" max="10738" width="32.81640625" style="217" customWidth="1"/>
    <col min="10739" max="10742" width="5.54296875" style="217" customWidth="1"/>
    <col min="10743" max="10743" width="7" style="217" customWidth="1"/>
    <col min="10744" max="10751" width="5.54296875" style="217" customWidth="1"/>
    <col min="10752" max="10752" width="55" style="217" customWidth="1"/>
    <col min="10753" max="10753" width="8.7265625" style="217" customWidth="1"/>
    <col min="10754" max="10754" width="8.1796875" style="217" customWidth="1"/>
    <col min="10755" max="10755" width="7.1796875" style="217" customWidth="1"/>
    <col min="10756" max="10756" width="16.54296875" style="217" bestFit="1" customWidth="1"/>
    <col min="10757" max="10757" width="18.54296875" style="217" customWidth="1"/>
    <col min="10758" max="10984" width="8.7265625" style="217" customWidth="1"/>
    <col min="10985" max="10985" width="39.7265625" style="217" customWidth="1"/>
    <col min="10986" max="10988" width="6.1796875" style="217" customWidth="1"/>
    <col min="10989" max="10989" width="8.453125" style="217" bestFit="1" customWidth="1"/>
    <col min="10990" max="10990" width="12.54296875" style="217" bestFit="1" customWidth="1"/>
    <col min="10991" max="10991" width="27.26953125" style="217" bestFit="1" customWidth="1"/>
    <col min="10992" max="10992" width="9.1796875" style="217" customWidth="1"/>
    <col min="10993" max="10993" width="14.7265625" style="217"/>
    <col min="10994" max="10994" width="32.81640625" style="217" customWidth="1"/>
    <col min="10995" max="10998" width="5.54296875" style="217" customWidth="1"/>
    <col min="10999" max="10999" width="7" style="217" customWidth="1"/>
    <col min="11000" max="11007" width="5.54296875" style="217" customWidth="1"/>
    <col min="11008" max="11008" width="55" style="217" customWidth="1"/>
    <col min="11009" max="11009" width="8.7265625" style="217" customWidth="1"/>
    <col min="11010" max="11010" width="8.1796875" style="217" customWidth="1"/>
    <col min="11011" max="11011" width="7.1796875" style="217" customWidth="1"/>
    <col min="11012" max="11012" width="16.54296875" style="217" bestFit="1" customWidth="1"/>
    <col min="11013" max="11013" width="18.54296875" style="217" customWidth="1"/>
    <col min="11014" max="11240" width="8.7265625" style="217" customWidth="1"/>
    <col min="11241" max="11241" width="39.7265625" style="217" customWidth="1"/>
    <col min="11242" max="11244" width="6.1796875" style="217" customWidth="1"/>
    <col min="11245" max="11245" width="8.453125" style="217" bestFit="1" customWidth="1"/>
    <col min="11246" max="11246" width="12.54296875" style="217" bestFit="1" customWidth="1"/>
    <col min="11247" max="11247" width="27.26953125" style="217" bestFit="1" customWidth="1"/>
    <col min="11248" max="11248" width="9.1796875" style="217" customWidth="1"/>
    <col min="11249" max="11249" width="14.7265625" style="217"/>
    <col min="11250" max="11250" width="32.81640625" style="217" customWidth="1"/>
    <col min="11251" max="11254" width="5.54296875" style="217" customWidth="1"/>
    <col min="11255" max="11255" width="7" style="217" customWidth="1"/>
    <col min="11256" max="11263" width="5.54296875" style="217" customWidth="1"/>
    <col min="11264" max="11264" width="55" style="217" customWidth="1"/>
    <col min="11265" max="11265" width="8.7265625" style="217" customWidth="1"/>
    <col min="11266" max="11266" width="8.1796875" style="217" customWidth="1"/>
    <col min="11267" max="11267" width="7.1796875" style="217" customWidth="1"/>
    <col min="11268" max="11268" width="16.54296875" style="217" bestFit="1" customWidth="1"/>
    <col min="11269" max="11269" width="18.54296875" style="217" customWidth="1"/>
    <col min="11270" max="11496" width="8.7265625" style="217" customWidth="1"/>
    <col min="11497" max="11497" width="39.7265625" style="217" customWidth="1"/>
    <col min="11498" max="11500" width="6.1796875" style="217" customWidth="1"/>
    <col min="11501" max="11501" width="8.453125" style="217" bestFit="1" customWidth="1"/>
    <col min="11502" max="11502" width="12.54296875" style="217" bestFit="1" customWidth="1"/>
    <col min="11503" max="11503" width="27.26953125" style="217" bestFit="1" customWidth="1"/>
    <col min="11504" max="11504" width="9.1796875" style="217" customWidth="1"/>
    <col min="11505" max="11505" width="14.7265625" style="217"/>
    <col min="11506" max="11506" width="32.81640625" style="217" customWidth="1"/>
    <col min="11507" max="11510" width="5.54296875" style="217" customWidth="1"/>
    <col min="11511" max="11511" width="7" style="217" customWidth="1"/>
    <col min="11512" max="11519" width="5.54296875" style="217" customWidth="1"/>
    <col min="11520" max="11520" width="55" style="217" customWidth="1"/>
    <col min="11521" max="11521" width="8.7265625" style="217" customWidth="1"/>
    <col min="11522" max="11522" width="8.1796875" style="217" customWidth="1"/>
    <col min="11523" max="11523" width="7.1796875" style="217" customWidth="1"/>
    <col min="11524" max="11524" width="16.54296875" style="217" bestFit="1" customWidth="1"/>
    <col min="11525" max="11525" width="18.54296875" style="217" customWidth="1"/>
    <col min="11526" max="11752" width="8.7265625" style="217" customWidth="1"/>
    <col min="11753" max="11753" width="39.7265625" style="217" customWidth="1"/>
    <col min="11754" max="11756" width="6.1796875" style="217" customWidth="1"/>
    <col min="11757" max="11757" width="8.453125" style="217" bestFit="1" customWidth="1"/>
    <col min="11758" max="11758" width="12.54296875" style="217" bestFit="1" customWidth="1"/>
    <col min="11759" max="11759" width="27.26953125" style="217" bestFit="1" customWidth="1"/>
    <col min="11760" max="11760" width="9.1796875" style="217" customWidth="1"/>
    <col min="11761" max="11761" width="14.7265625" style="217"/>
    <col min="11762" max="11762" width="32.81640625" style="217" customWidth="1"/>
    <col min="11763" max="11766" width="5.54296875" style="217" customWidth="1"/>
    <col min="11767" max="11767" width="7" style="217" customWidth="1"/>
    <col min="11768" max="11775" width="5.54296875" style="217" customWidth="1"/>
    <col min="11776" max="11776" width="55" style="217" customWidth="1"/>
    <col min="11777" max="11777" width="8.7265625" style="217" customWidth="1"/>
    <col min="11778" max="11778" width="8.1796875" style="217" customWidth="1"/>
    <col min="11779" max="11779" width="7.1796875" style="217" customWidth="1"/>
    <col min="11780" max="11780" width="16.54296875" style="217" bestFit="1" customWidth="1"/>
    <col min="11781" max="11781" width="18.54296875" style="217" customWidth="1"/>
    <col min="11782" max="12008" width="8.7265625" style="217" customWidth="1"/>
    <col min="12009" max="12009" width="39.7265625" style="217" customWidth="1"/>
    <col min="12010" max="12012" width="6.1796875" style="217" customWidth="1"/>
    <col min="12013" max="12013" width="8.453125" style="217" bestFit="1" customWidth="1"/>
    <col min="12014" max="12014" width="12.54296875" style="217" bestFit="1" customWidth="1"/>
    <col min="12015" max="12015" width="27.26953125" style="217" bestFit="1" customWidth="1"/>
    <col min="12016" max="12016" width="9.1796875" style="217" customWidth="1"/>
    <col min="12017" max="12017" width="14.7265625" style="217"/>
    <col min="12018" max="12018" width="32.81640625" style="217" customWidth="1"/>
    <col min="12019" max="12022" width="5.54296875" style="217" customWidth="1"/>
    <col min="12023" max="12023" width="7" style="217" customWidth="1"/>
    <col min="12024" max="12031" width="5.54296875" style="217" customWidth="1"/>
    <col min="12032" max="12032" width="55" style="217" customWidth="1"/>
    <col min="12033" max="12033" width="8.7265625" style="217" customWidth="1"/>
    <col min="12034" max="12034" width="8.1796875" style="217" customWidth="1"/>
    <col min="12035" max="12035" width="7.1796875" style="217" customWidth="1"/>
    <col min="12036" max="12036" width="16.54296875" style="217" bestFit="1" customWidth="1"/>
    <col min="12037" max="12037" width="18.54296875" style="217" customWidth="1"/>
    <col min="12038" max="12264" width="8.7265625" style="217" customWidth="1"/>
    <col min="12265" max="12265" width="39.7265625" style="217" customWidth="1"/>
    <col min="12266" max="12268" width="6.1796875" style="217" customWidth="1"/>
    <col min="12269" max="12269" width="8.453125" style="217" bestFit="1" customWidth="1"/>
    <col min="12270" max="12270" width="12.54296875" style="217" bestFit="1" customWidth="1"/>
    <col min="12271" max="12271" width="27.26953125" style="217" bestFit="1" customWidth="1"/>
    <col min="12272" max="12272" width="9.1796875" style="217" customWidth="1"/>
    <col min="12273" max="12273" width="14.7265625" style="217"/>
    <col min="12274" max="12274" width="32.81640625" style="217" customWidth="1"/>
    <col min="12275" max="12278" width="5.54296875" style="217" customWidth="1"/>
    <col min="12279" max="12279" width="7" style="217" customWidth="1"/>
    <col min="12280" max="12287" width="5.54296875" style="217" customWidth="1"/>
    <col min="12288" max="12288" width="55" style="217" customWidth="1"/>
    <col min="12289" max="12289" width="8.7265625" style="217" customWidth="1"/>
    <col min="12290" max="12290" width="8.1796875" style="217" customWidth="1"/>
    <col min="12291" max="12291" width="7.1796875" style="217" customWidth="1"/>
    <col min="12292" max="12292" width="16.54296875" style="217" bestFit="1" customWidth="1"/>
    <col min="12293" max="12293" width="18.54296875" style="217" customWidth="1"/>
    <col min="12294" max="12520" width="8.7265625" style="217" customWidth="1"/>
    <col min="12521" max="12521" width="39.7265625" style="217" customWidth="1"/>
    <col min="12522" max="12524" width="6.1796875" style="217" customWidth="1"/>
    <col min="12525" max="12525" width="8.453125" style="217" bestFit="1" customWidth="1"/>
    <col min="12526" max="12526" width="12.54296875" style="217" bestFit="1" customWidth="1"/>
    <col min="12527" max="12527" width="27.26953125" style="217" bestFit="1" customWidth="1"/>
    <col min="12528" max="12528" width="9.1796875" style="217" customWidth="1"/>
    <col min="12529" max="12529" width="14.7265625" style="217"/>
    <col min="12530" max="12530" width="32.81640625" style="217" customWidth="1"/>
    <col min="12531" max="12534" width="5.54296875" style="217" customWidth="1"/>
    <col min="12535" max="12535" width="7" style="217" customWidth="1"/>
    <col min="12536" max="12543" width="5.54296875" style="217" customWidth="1"/>
    <col min="12544" max="12544" width="55" style="217" customWidth="1"/>
    <col min="12545" max="12545" width="8.7265625" style="217" customWidth="1"/>
    <col min="12546" max="12546" width="8.1796875" style="217" customWidth="1"/>
    <col min="12547" max="12547" width="7.1796875" style="217" customWidth="1"/>
    <col min="12548" max="12548" width="16.54296875" style="217" bestFit="1" customWidth="1"/>
    <col min="12549" max="12549" width="18.54296875" style="217" customWidth="1"/>
    <col min="12550" max="12776" width="8.7265625" style="217" customWidth="1"/>
    <col min="12777" max="12777" width="39.7265625" style="217" customWidth="1"/>
    <col min="12778" max="12780" width="6.1796875" style="217" customWidth="1"/>
    <col min="12781" max="12781" width="8.453125" style="217" bestFit="1" customWidth="1"/>
    <col min="12782" max="12782" width="12.54296875" style="217" bestFit="1" customWidth="1"/>
    <col min="12783" max="12783" width="27.26953125" style="217" bestFit="1" customWidth="1"/>
    <col min="12784" max="12784" width="9.1796875" style="217" customWidth="1"/>
    <col min="12785" max="12785" width="14.7265625" style="217"/>
    <col min="12786" max="12786" width="32.81640625" style="217" customWidth="1"/>
    <col min="12787" max="12790" width="5.54296875" style="217" customWidth="1"/>
    <col min="12791" max="12791" width="7" style="217" customWidth="1"/>
    <col min="12792" max="12799" width="5.54296875" style="217" customWidth="1"/>
    <col min="12800" max="12800" width="55" style="217" customWidth="1"/>
    <col min="12801" max="12801" width="8.7265625" style="217" customWidth="1"/>
    <col min="12802" max="12802" width="8.1796875" style="217" customWidth="1"/>
    <col min="12803" max="12803" width="7.1796875" style="217" customWidth="1"/>
    <col min="12804" max="12804" width="16.54296875" style="217" bestFit="1" customWidth="1"/>
    <col min="12805" max="12805" width="18.54296875" style="217" customWidth="1"/>
    <col min="12806" max="13032" width="8.7265625" style="217" customWidth="1"/>
    <col min="13033" max="13033" width="39.7265625" style="217" customWidth="1"/>
    <col min="13034" max="13036" width="6.1796875" style="217" customWidth="1"/>
    <col min="13037" max="13037" width="8.453125" style="217" bestFit="1" customWidth="1"/>
    <col min="13038" max="13038" width="12.54296875" style="217" bestFit="1" customWidth="1"/>
    <col min="13039" max="13039" width="27.26953125" style="217" bestFit="1" customWidth="1"/>
    <col min="13040" max="13040" width="9.1796875" style="217" customWidth="1"/>
    <col min="13041" max="13041" width="14.7265625" style="217"/>
    <col min="13042" max="13042" width="32.81640625" style="217" customWidth="1"/>
    <col min="13043" max="13046" width="5.54296875" style="217" customWidth="1"/>
    <col min="13047" max="13047" width="7" style="217" customWidth="1"/>
    <col min="13048" max="13055" width="5.54296875" style="217" customWidth="1"/>
    <col min="13056" max="13056" width="55" style="217" customWidth="1"/>
    <col min="13057" max="13057" width="8.7265625" style="217" customWidth="1"/>
    <col min="13058" max="13058" width="8.1796875" style="217" customWidth="1"/>
    <col min="13059" max="13059" width="7.1796875" style="217" customWidth="1"/>
    <col min="13060" max="13060" width="16.54296875" style="217" bestFit="1" customWidth="1"/>
    <col min="13061" max="13061" width="18.54296875" style="217" customWidth="1"/>
    <col min="13062" max="13288" width="8.7265625" style="217" customWidth="1"/>
    <col min="13289" max="13289" width="39.7265625" style="217" customWidth="1"/>
    <col min="13290" max="13292" width="6.1796875" style="217" customWidth="1"/>
    <col min="13293" max="13293" width="8.453125" style="217" bestFit="1" customWidth="1"/>
    <col min="13294" max="13294" width="12.54296875" style="217" bestFit="1" customWidth="1"/>
    <col min="13295" max="13295" width="27.26953125" style="217" bestFit="1" customWidth="1"/>
    <col min="13296" max="13296" width="9.1796875" style="217" customWidth="1"/>
    <col min="13297" max="13297" width="14.7265625" style="217"/>
    <col min="13298" max="13298" width="32.81640625" style="217" customWidth="1"/>
    <col min="13299" max="13302" width="5.54296875" style="217" customWidth="1"/>
    <col min="13303" max="13303" width="7" style="217" customWidth="1"/>
    <col min="13304" max="13311" width="5.54296875" style="217" customWidth="1"/>
    <col min="13312" max="13312" width="55" style="217" customWidth="1"/>
    <col min="13313" max="13313" width="8.7265625" style="217" customWidth="1"/>
    <col min="13314" max="13314" width="8.1796875" style="217" customWidth="1"/>
    <col min="13315" max="13315" width="7.1796875" style="217" customWidth="1"/>
    <col min="13316" max="13316" width="16.54296875" style="217" bestFit="1" customWidth="1"/>
    <col min="13317" max="13317" width="18.54296875" style="217" customWidth="1"/>
    <col min="13318" max="13544" width="8.7265625" style="217" customWidth="1"/>
    <col min="13545" max="13545" width="39.7265625" style="217" customWidth="1"/>
    <col min="13546" max="13548" width="6.1796875" style="217" customWidth="1"/>
    <col min="13549" max="13549" width="8.453125" style="217" bestFit="1" customWidth="1"/>
    <col min="13550" max="13550" width="12.54296875" style="217" bestFit="1" customWidth="1"/>
    <col min="13551" max="13551" width="27.26953125" style="217" bestFit="1" customWidth="1"/>
    <col min="13552" max="13552" width="9.1796875" style="217" customWidth="1"/>
    <col min="13553" max="13553" width="14.7265625" style="217"/>
    <col min="13554" max="13554" width="32.81640625" style="217" customWidth="1"/>
    <col min="13555" max="13558" width="5.54296875" style="217" customWidth="1"/>
    <col min="13559" max="13559" width="7" style="217" customWidth="1"/>
    <col min="13560" max="13567" width="5.54296875" style="217" customWidth="1"/>
    <col min="13568" max="13568" width="55" style="217" customWidth="1"/>
    <col min="13569" max="13569" width="8.7265625" style="217" customWidth="1"/>
    <col min="13570" max="13570" width="8.1796875" style="217" customWidth="1"/>
    <col min="13571" max="13571" width="7.1796875" style="217" customWidth="1"/>
    <col min="13572" max="13572" width="16.54296875" style="217" bestFit="1" customWidth="1"/>
    <col min="13573" max="13573" width="18.54296875" style="217" customWidth="1"/>
    <col min="13574" max="13800" width="8.7265625" style="217" customWidth="1"/>
    <col min="13801" max="13801" width="39.7265625" style="217" customWidth="1"/>
    <col min="13802" max="13804" width="6.1796875" style="217" customWidth="1"/>
    <col min="13805" max="13805" width="8.453125" style="217" bestFit="1" customWidth="1"/>
    <col min="13806" max="13806" width="12.54296875" style="217" bestFit="1" customWidth="1"/>
    <col min="13807" max="13807" width="27.26953125" style="217" bestFit="1" customWidth="1"/>
    <col min="13808" max="13808" width="9.1796875" style="217" customWidth="1"/>
    <col min="13809" max="13809" width="14.7265625" style="217"/>
    <col min="13810" max="13810" width="32.81640625" style="217" customWidth="1"/>
    <col min="13811" max="13814" width="5.54296875" style="217" customWidth="1"/>
    <col min="13815" max="13815" width="7" style="217" customWidth="1"/>
    <col min="13816" max="13823" width="5.54296875" style="217" customWidth="1"/>
    <col min="13824" max="13824" width="55" style="217" customWidth="1"/>
    <col min="13825" max="13825" width="8.7265625" style="217" customWidth="1"/>
    <col min="13826" max="13826" width="8.1796875" style="217" customWidth="1"/>
    <col min="13827" max="13827" width="7.1796875" style="217" customWidth="1"/>
    <col min="13828" max="13828" width="16.54296875" style="217" bestFit="1" customWidth="1"/>
    <col min="13829" max="13829" width="18.54296875" style="217" customWidth="1"/>
    <col min="13830" max="14056" width="8.7265625" style="217" customWidth="1"/>
    <col min="14057" max="14057" width="39.7265625" style="217" customWidth="1"/>
    <col min="14058" max="14060" width="6.1796875" style="217" customWidth="1"/>
    <col min="14061" max="14061" width="8.453125" style="217" bestFit="1" customWidth="1"/>
    <col min="14062" max="14062" width="12.54296875" style="217" bestFit="1" customWidth="1"/>
    <col min="14063" max="14063" width="27.26953125" style="217" bestFit="1" customWidth="1"/>
    <col min="14064" max="14064" width="9.1796875" style="217" customWidth="1"/>
    <col min="14065" max="14065" width="14.7265625" style="217"/>
    <col min="14066" max="14066" width="32.81640625" style="217" customWidth="1"/>
    <col min="14067" max="14070" width="5.54296875" style="217" customWidth="1"/>
    <col min="14071" max="14071" width="7" style="217" customWidth="1"/>
    <col min="14072" max="14079" width="5.54296875" style="217" customWidth="1"/>
    <col min="14080" max="14080" width="55" style="217" customWidth="1"/>
    <col min="14081" max="14081" width="8.7265625" style="217" customWidth="1"/>
    <col min="14082" max="14082" width="8.1796875" style="217" customWidth="1"/>
    <col min="14083" max="14083" width="7.1796875" style="217" customWidth="1"/>
    <col min="14084" max="14084" width="16.54296875" style="217" bestFit="1" customWidth="1"/>
    <col min="14085" max="14085" width="18.54296875" style="217" customWidth="1"/>
    <col min="14086" max="14312" width="8.7265625" style="217" customWidth="1"/>
    <col min="14313" max="14313" width="39.7265625" style="217" customWidth="1"/>
    <col min="14314" max="14316" width="6.1796875" style="217" customWidth="1"/>
    <col min="14317" max="14317" width="8.453125" style="217" bestFit="1" customWidth="1"/>
    <col min="14318" max="14318" width="12.54296875" style="217" bestFit="1" customWidth="1"/>
    <col min="14319" max="14319" width="27.26953125" style="217" bestFit="1" customWidth="1"/>
    <col min="14320" max="14320" width="9.1796875" style="217" customWidth="1"/>
    <col min="14321" max="14321" width="14.7265625" style="217"/>
    <col min="14322" max="14322" width="32.81640625" style="217" customWidth="1"/>
    <col min="14323" max="14326" width="5.54296875" style="217" customWidth="1"/>
    <col min="14327" max="14327" width="7" style="217" customWidth="1"/>
    <col min="14328" max="14335" width="5.54296875" style="217" customWidth="1"/>
    <col min="14336" max="14336" width="55" style="217" customWidth="1"/>
    <col min="14337" max="14337" width="8.7265625" style="217" customWidth="1"/>
    <col min="14338" max="14338" width="8.1796875" style="217" customWidth="1"/>
    <col min="14339" max="14339" width="7.1796875" style="217" customWidth="1"/>
    <col min="14340" max="14340" width="16.54296875" style="217" bestFit="1" customWidth="1"/>
    <col min="14341" max="14341" width="18.54296875" style="217" customWidth="1"/>
    <col min="14342" max="14568" width="8.7265625" style="217" customWidth="1"/>
    <col min="14569" max="14569" width="39.7265625" style="217" customWidth="1"/>
    <col min="14570" max="14572" width="6.1796875" style="217" customWidth="1"/>
    <col min="14573" max="14573" width="8.453125" style="217" bestFit="1" customWidth="1"/>
    <col min="14574" max="14574" width="12.54296875" style="217" bestFit="1" customWidth="1"/>
    <col min="14575" max="14575" width="27.26953125" style="217" bestFit="1" customWidth="1"/>
    <col min="14576" max="14576" width="9.1796875" style="217" customWidth="1"/>
    <col min="14577" max="14577" width="14.7265625" style="217"/>
    <col min="14578" max="14578" width="32.81640625" style="217" customWidth="1"/>
    <col min="14579" max="14582" width="5.54296875" style="217" customWidth="1"/>
    <col min="14583" max="14583" width="7" style="217" customWidth="1"/>
    <col min="14584" max="14591" width="5.54296875" style="217" customWidth="1"/>
    <col min="14592" max="14592" width="55" style="217" customWidth="1"/>
    <col min="14593" max="14593" width="8.7265625" style="217" customWidth="1"/>
    <col min="14594" max="14594" width="8.1796875" style="217" customWidth="1"/>
    <col min="14595" max="14595" width="7.1796875" style="217" customWidth="1"/>
    <col min="14596" max="14596" width="16.54296875" style="217" bestFit="1" customWidth="1"/>
    <col min="14597" max="14597" width="18.54296875" style="217" customWidth="1"/>
    <col min="14598" max="14824" width="8.7265625" style="217" customWidth="1"/>
    <col min="14825" max="14825" width="39.7265625" style="217" customWidth="1"/>
    <col min="14826" max="14828" width="6.1796875" style="217" customWidth="1"/>
    <col min="14829" max="14829" width="8.453125" style="217" bestFit="1" customWidth="1"/>
    <col min="14830" max="14830" width="12.54296875" style="217" bestFit="1" customWidth="1"/>
    <col min="14831" max="14831" width="27.26953125" style="217" bestFit="1" customWidth="1"/>
    <col min="14832" max="14832" width="9.1796875" style="217" customWidth="1"/>
    <col min="14833" max="14833" width="14.7265625" style="217"/>
    <col min="14834" max="14834" width="32.81640625" style="217" customWidth="1"/>
    <col min="14835" max="14838" width="5.54296875" style="217" customWidth="1"/>
    <col min="14839" max="14839" width="7" style="217" customWidth="1"/>
    <col min="14840" max="14847" width="5.54296875" style="217" customWidth="1"/>
    <col min="14848" max="14848" width="55" style="217" customWidth="1"/>
    <col min="14849" max="14849" width="8.7265625" style="217" customWidth="1"/>
    <col min="14850" max="14850" width="8.1796875" style="217" customWidth="1"/>
    <col min="14851" max="14851" width="7.1796875" style="217" customWidth="1"/>
    <col min="14852" max="14852" width="16.54296875" style="217" bestFit="1" customWidth="1"/>
    <col min="14853" max="14853" width="18.54296875" style="217" customWidth="1"/>
    <col min="14854" max="15080" width="8.7265625" style="217" customWidth="1"/>
    <col min="15081" max="15081" width="39.7265625" style="217" customWidth="1"/>
    <col min="15082" max="15084" width="6.1796875" style="217" customWidth="1"/>
    <col min="15085" max="15085" width="8.453125" style="217" bestFit="1" customWidth="1"/>
    <col min="15086" max="15086" width="12.54296875" style="217" bestFit="1" customWidth="1"/>
    <col min="15087" max="15087" width="27.26953125" style="217" bestFit="1" customWidth="1"/>
    <col min="15088" max="15088" width="9.1796875" style="217" customWidth="1"/>
    <col min="15089" max="15089" width="14.7265625" style="217"/>
    <col min="15090" max="15090" width="32.81640625" style="217" customWidth="1"/>
    <col min="15091" max="15094" width="5.54296875" style="217" customWidth="1"/>
    <col min="15095" max="15095" width="7" style="217" customWidth="1"/>
    <col min="15096" max="15103" width="5.54296875" style="217" customWidth="1"/>
    <col min="15104" max="15104" width="55" style="217" customWidth="1"/>
    <col min="15105" max="15105" width="8.7265625" style="217" customWidth="1"/>
    <col min="15106" max="15106" width="8.1796875" style="217" customWidth="1"/>
    <col min="15107" max="15107" width="7.1796875" style="217" customWidth="1"/>
    <col min="15108" max="15108" width="16.54296875" style="217" bestFit="1" customWidth="1"/>
    <col min="15109" max="15109" width="18.54296875" style="217" customWidth="1"/>
    <col min="15110" max="15336" width="8.7265625" style="217" customWidth="1"/>
    <col min="15337" max="15337" width="39.7265625" style="217" customWidth="1"/>
    <col min="15338" max="15340" width="6.1796875" style="217" customWidth="1"/>
    <col min="15341" max="15341" width="8.453125" style="217" bestFit="1" customWidth="1"/>
    <col min="15342" max="15342" width="12.54296875" style="217" bestFit="1" customWidth="1"/>
    <col min="15343" max="15343" width="27.26953125" style="217" bestFit="1" customWidth="1"/>
    <col min="15344" max="15344" width="9.1796875" style="217" customWidth="1"/>
    <col min="15345" max="15345" width="14.7265625" style="217"/>
    <col min="15346" max="15346" width="32.81640625" style="217" customWidth="1"/>
    <col min="15347" max="15350" width="5.54296875" style="217" customWidth="1"/>
    <col min="15351" max="15351" width="7" style="217" customWidth="1"/>
    <col min="15352" max="15359" width="5.54296875" style="217" customWidth="1"/>
    <col min="15360" max="15360" width="55" style="217" customWidth="1"/>
    <col min="15361" max="15361" width="8.7265625" style="217" customWidth="1"/>
    <col min="15362" max="15362" width="8.1796875" style="217" customWidth="1"/>
    <col min="15363" max="15363" width="7.1796875" style="217" customWidth="1"/>
    <col min="15364" max="15364" width="16.54296875" style="217" bestFit="1" customWidth="1"/>
    <col min="15365" max="15365" width="18.54296875" style="217" customWidth="1"/>
    <col min="15366" max="15592" width="8.7265625" style="217" customWidth="1"/>
    <col min="15593" max="15593" width="39.7265625" style="217" customWidth="1"/>
    <col min="15594" max="15596" width="6.1796875" style="217" customWidth="1"/>
    <col min="15597" max="15597" width="8.453125" style="217" bestFit="1" customWidth="1"/>
    <col min="15598" max="15598" width="12.54296875" style="217" bestFit="1" customWidth="1"/>
    <col min="15599" max="15599" width="27.26953125" style="217" bestFit="1" customWidth="1"/>
    <col min="15600" max="15600" width="9.1796875" style="217" customWidth="1"/>
    <col min="15601" max="15601" width="14.7265625" style="217"/>
    <col min="15602" max="15602" width="32.81640625" style="217" customWidth="1"/>
    <col min="15603" max="15606" width="5.54296875" style="217" customWidth="1"/>
    <col min="15607" max="15607" width="7" style="217" customWidth="1"/>
    <col min="15608" max="15615" width="5.54296875" style="217" customWidth="1"/>
    <col min="15616" max="15616" width="55" style="217" customWidth="1"/>
    <col min="15617" max="15617" width="8.7265625" style="217" customWidth="1"/>
    <col min="15618" max="15618" width="8.1796875" style="217" customWidth="1"/>
    <col min="15619" max="15619" width="7.1796875" style="217" customWidth="1"/>
    <col min="15620" max="15620" width="16.54296875" style="217" bestFit="1" customWidth="1"/>
    <col min="15621" max="15621" width="18.54296875" style="217" customWidth="1"/>
    <col min="15622" max="15848" width="8.7265625" style="217" customWidth="1"/>
    <col min="15849" max="15849" width="39.7265625" style="217" customWidth="1"/>
    <col min="15850" max="15852" width="6.1796875" style="217" customWidth="1"/>
    <col min="15853" max="15853" width="8.453125" style="217" bestFit="1" customWidth="1"/>
    <col min="15854" max="15854" width="12.54296875" style="217" bestFit="1" customWidth="1"/>
    <col min="15855" max="15855" width="27.26953125" style="217" bestFit="1" customWidth="1"/>
    <col min="15856" max="15856" width="9.1796875" style="217" customWidth="1"/>
    <col min="15857" max="15857" width="14.7265625" style="217"/>
    <col min="15858" max="15858" width="32.81640625" style="217" customWidth="1"/>
    <col min="15859" max="15862" width="5.54296875" style="217" customWidth="1"/>
    <col min="15863" max="15863" width="7" style="217" customWidth="1"/>
    <col min="15864" max="15871" width="5.54296875" style="217" customWidth="1"/>
    <col min="15872" max="15872" width="55" style="217" customWidth="1"/>
    <col min="15873" max="15873" width="8.7265625" style="217" customWidth="1"/>
    <col min="15874" max="15874" width="8.1796875" style="217" customWidth="1"/>
    <col min="15875" max="15875" width="7.1796875" style="217" customWidth="1"/>
    <col min="15876" max="15876" width="16.54296875" style="217" bestFit="1" customWidth="1"/>
    <col min="15877" max="15877" width="18.54296875" style="217" customWidth="1"/>
    <col min="15878" max="16104" width="8.7265625" style="217" customWidth="1"/>
    <col min="16105" max="16105" width="39.7265625" style="217" customWidth="1"/>
    <col min="16106" max="16108" width="6.1796875" style="217" customWidth="1"/>
    <col min="16109" max="16109" width="8.453125" style="217" bestFit="1" customWidth="1"/>
    <col min="16110" max="16110" width="12.54296875" style="217" bestFit="1" customWidth="1"/>
    <col min="16111" max="16111" width="27.26953125" style="217" bestFit="1" customWidth="1"/>
    <col min="16112" max="16112" width="9.1796875" style="217" customWidth="1"/>
    <col min="16113" max="16113" width="14.7265625" style="217"/>
    <col min="16114" max="16114" width="32.81640625" style="217" customWidth="1"/>
    <col min="16115" max="16118" width="5.54296875" style="217" customWidth="1"/>
    <col min="16119" max="16119" width="7" style="217" customWidth="1"/>
    <col min="16120" max="16127" width="5.54296875" style="217" customWidth="1"/>
    <col min="16128" max="16128" width="55" style="217" customWidth="1"/>
    <col min="16129" max="16129" width="8.7265625" style="217" customWidth="1"/>
    <col min="16130" max="16130" width="8.1796875" style="217" customWidth="1"/>
    <col min="16131" max="16131" width="7.1796875" style="217" customWidth="1"/>
    <col min="16132" max="16132" width="16.54296875" style="217" bestFit="1" customWidth="1"/>
    <col min="16133" max="16133" width="18.54296875" style="217" customWidth="1"/>
    <col min="16134" max="16360" width="8.7265625" style="217" customWidth="1"/>
    <col min="16361" max="16361" width="39.7265625" style="217" customWidth="1"/>
    <col min="16362" max="16364" width="6.1796875" style="217" customWidth="1"/>
    <col min="16365" max="16365" width="8.453125" style="217" bestFit="1" customWidth="1"/>
    <col min="16366" max="16366" width="12.54296875" style="217" bestFit="1" customWidth="1"/>
    <col min="16367" max="16367" width="27.26953125" style="217" bestFit="1" customWidth="1"/>
    <col min="16368" max="16384" width="9.1796875" style="217" customWidth="1"/>
  </cols>
  <sheetData>
    <row r="1" spans="1:8" ht="21.5" thickBot="1" x14ac:dyDescent="0.55000000000000004">
      <c r="A1" s="1444" t="s">
        <v>1373</v>
      </c>
      <c r="B1" s="1429"/>
      <c r="C1" s="1429"/>
      <c r="D1" s="1429"/>
      <c r="E1" s="1429"/>
      <c r="F1" s="1429"/>
      <c r="G1" s="257"/>
      <c r="H1" s="257"/>
    </row>
    <row r="2" spans="1:8" s="141" customFormat="1" ht="25.5" customHeight="1" x14ac:dyDescent="0.3">
      <c r="A2" s="1448"/>
      <c r="B2" s="1449">
        <v>2024</v>
      </c>
      <c r="C2" s="1449">
        <v>2025</v>
      </c>
      <c r="D2" s="1449">
        <v>2026</v>
      </c>
      <c r="E2" s="1449">
        <v>2027</v>
      </c>
      <c r="F2" s="1449">
        <v>2028</v>
      </c>
      <c r="G2" s="1449">
        <v>2029</v>
      </c>
      <c r="H2" s="1450">
        <v>2030</v>
      </c>
    </row>
    <row r="3" spans="1:8" hidden="1" x14ac:dyDescent="0.3">
      <c r="A3" s="1528" t="s">
        <v>282</v>
      </c>
      <c r="B3" s="1529"/>
      <c r="C3" s="1529"/>
      <c r="D3" s="1529"/>
      <c r="E3" s="1529"/>
      <c r="F3" s="1529"/>
      <c r="G3" s="1529"/>
      <c r="H3" s="1530"/>
    </row>
    <row r="4" spans="1:8" hidden="1" x14ac:dyDescent="0.3">
      <c r="A4" s="1528"/>
      <c r="B4" s="1445"/>
      <c r="C4" s="1445">
        <f>SUM(C7:C30)</f>
        <v>0</v>
      </c>
      <c r="D4" s="1445">
        <f>SUM(D7:D30)</f>
        <v>0</v>
      </c>
      <c r="E4" s="1445">
        <f>SUM(E7:E30)</f>
        <v>0</v>
      </c>
      <c r="F4" s="1445"/>
      <c r="G4" s="1445"/>
      <c r="H4" s="1451">
        <f>SUM(H7:H30)</f>
        <v>0</v>
      </c>
    </row>
    <row r="5" spans="1:8" s="263" customFormat="1" hidden="1" x14ac:dyDescent="0.3">
      <c r="A5" s="1528"/>
      <c r="B5" s="1446"/>
      <c r="C5" s="1446">
        <v>2024</v>
      </c>
      <c r="D5" s="1446">
        <v>2025</v>
      </c>
      <c r="E5" s="1446">
        <v>2026</v>
      </c>
      <c r="F5" s="1446"/>
      <c r="G5" s="1446"/>
      <c r="H5" s="1452">
        <v>2027</v>
      </c>
    </row>
    <row r="6" spans="1:8" s="263" customFormat="1" hidden="1" x14ac:dyDescent="0.3">
      <c r="A6" s="1453">
        <v>1</v>
      </c>
      <c r="B6" s="1447"/>
      <c r="C6" s="1447">
        <v>8</v>
      </c>
      <c r="D6" s="1447">
        <v>9</v>
      </c>
      <c r="E6" s="1447">
        <v>10</v>
      </c>
      <c r="F6" s="1447"/>
      <c r="G6" s="1447"/>
      <c r="H6" s="1454">
        <v>11</v>
      </c>
    </row>
    <row r="7" spans="1:8" s="261" customFormat="1" ht="15.5" x14ac:dyDescent="0.3">
      <c r="A7" s="1455" t="s">
        <v>1362</v>
      </c>
      <c r="B7" s="595"/>
      <c r="C7" s="595"/>
      <c r="D7" s="595"/>
      <c r="E7" s="595"/>
      <c r="F7" s="595"/>
      <c r="G7" s="595"/>
      <c r="H7" s="1401"/>
    </row>
    <row r="8" spans="1:8" s="261" customFormat="1" x14ac:dyDescent="0.3">
      <c r="A8" s="1456" t="s">
        <v>1370</v>
      </c>
      <c r="B8" s="1433"/>
      <c r="C8" s="1433"/>
      <c r="D8" s="595"/>
      <c r="E8" s="595"/>
      <c r="F8" s="595"/>
      <c r="G8" s="595"/>
      <c r="H8" s="1401"/>
    </row>
    <row r="9" spans="1:8" s="261" customFormat="1" x14ac:dyDescent="0.3">
      <c r="A9" s="1456" t="s">
        <v>1358</v>
      </c>
      <c r="B9" s="595"/>
      <c r="C9" s="595"/>
      <c r="D9" s="1433"/>
      <c r="E9" s="1433"/>
      <c r="F9" s="1433"/>
      <c r="G9" s="1441"/>
      <c r="H9" s="1401"/>
    </row>
    <row r="10" spans="1:8" s="281" customFormat="1" x14ac:dyDescent="0.3">
      <c r="A10" s="1457" t="s">
        <v>1359</v>
      </c>
      <c r="B10" s="626"/>
      <c r="C10" s="626"/>
      <c r="D10" s="1426"/>
      <c r="E10" s="1428"/>
      <c r="F10" s="1428"/>
      <c r="G10" s="1430"/>
      <c r="H10" s="1434"/>
    </row>
    <row r="11" spans="1:8" s="281" customFormat="1" x14ac:dyDescent="0.3">
      <c r="A11" s="1457" t="s">
        <v>1353</v>
      </c>
      <c r="B11" s="1433"/>
      <c r="C11" s="1433"/>
      <c r="D11" s="1435"/>
      <c r="E11" s="1428"/>
      <c r="F11" s="1428"/>
      <c r="G11" s="1426"/>
      <c r="H11" s="1401"/>
    </row>
    <row r="12" spans="1:8" s="281" customFormat="1" x14ac:dyDescent="0.3">
      <c r="A12" s="1466" t="s">
        <v>1378</v>
      </c>
      <c r="B12" s="415"/>
      <c r="C12" s="595"/>
      <c r="D12" s="1430"/>
      <c r="E12" s="1428"/>
      <c r="F12" s="1428"/>
      <c r="G12" s="1426"/>
      <c r="H12" s="1401"/>
    </row>
    <row r="13" spans="1:8" s="281" customFormat="1" ht="65" x14ac:dyDescent="0.3">
      <c r="A13" s="1466" t="s">
        <v>1376</v>
      </c>
      <c r="B13" s="1437"/>
      <c r="C13" s="1462"/>
      <c r="D13" s="1463"/>
      <c r="E13" s="1428"/>
      <c r="F13" s="1428"/>
      <c r="G13" s="1426"/>
      <c r="H13" s="1401"/>
    </row>
    <row r="14" spans="1:8" s="281" customFormat="1" x14ac:dyDescent="0.3">
      <c r="A14" s="1461" t="s">
        <v>1375</v>
      </c>
      <c r="B14" s="1437"/>
      <c r="C14" s="595"/>
      <c r="D14" s="1438"/>
      <c r="E14" s="1464"/>
      <c r="F14" s="1431"/>
      <c r="G14" s="1430"/>
      <c r="H14" s="1401"/>
    </row>
    <row r="15" spans="1:8" s="281" customFormat="1" ht="26" x14ac:dyDescent="0.3">
      <c r="A15" s="1461" t="s">
        <v>1377</v>
      </c>
      <c r="B15" s="1437"/>
      <c r="C15" s="595"/>
      <c r="D15" s="1438"/>
      <c r="E15" s="1431"/>
      <c r="F15" s="1464"/>
      <c r="G15" s="1430"/>
      <c r="H15" s="1401"/>
    </row>
    <row r="16" spans="1:8" s="281" customFormat="1" ht="26" x14ac:dyDescent="0.3">
      <c r="A16" s="1461" t="s">
        <v>1374</v>
      </c>
      <c r="B16" s="1437"/>
      <c r="C16" s="595"/>
      <c r="D16" s="1438"/>
      <c r="E16" s="1431"/>
      <c r="F16" s="1431"/>
      <c r="G16" s="1463"/>
      <c r="H16" s="1465"/>
    </row>
    <row r="17" spans="1:9" s="281" customFormat="1" x14ac:dyDescent="0.3">
      <c r="A17" s="1457" t="s">
        <v>1369</v>
      </c>
      <c r="B17" s="1437"/>
      <c r="C17" s="1437"/>
      <c r="D17" s="1438"/>
      <c r="E17" s="1440"/>
      <c r="F17" s="1428"/>
      <c r="G17" s="1426"/>
      <c r="H17" s="1401"/>
    </row>
    <row r="18" spans="1:9" s="281" customFormat="1" x14ac:dyDescent="0.3">
      <c r="A18" s="1457" t="s">
        <v>1355</v>
      </c>
      <c r="B18" s="1437"/>
      <c r="C18" s="1437"/>
      <c r="D18" s="1438"/>
      <c r="E18" s="1431"/>
      <c r="F18" s="1439"/>
      <c r="G18" s="1435"/>
      <c r="H18" s="1401"/>
    </row>
    <row r="19" spans="1:9" s="281" customFormat="1" x14ac:dyDescent="0.3">
      <c r="A19" s="1457" t="s">
        <v>1354</v>
      </c>
      <c r="B19" s="595"/>
      <c r="C19" s="595"/>
      <c r="D19" s="1430"/>
      <c r="E19" s="1428"/>
      <c r="F19" s="1428"/>
      <c r="G19" s="1426"/>
      <c r="H19" s="1434"/>
    </row>
    <row r="20" spans="1:9" s="281" customFormat="1" x14ac:dyDescent="0.3">
      <c r="A20" s="1457" t="s">
        <v>1371</v>
      </c>
      <c r="B20" s="595"/>
      <c r="C20" s="595"/>
      <c r="D20" s="1430"/>
      <c r="E20" s="1439"/>
      <c r="F20" s="1439"/>
      <c r="G20" s="1435"/>
      <c r="H20" s="1434"/>
    </row>
    <row r="21" spans="1:9" s="281" customFormat="1" ht="26" x14ac:dyDescent="0.3">
      <c r="A21" s="1456" t="s">
        <v>1360</v>
      </c>
      <c r="B21" s="1441"/>
      <c r="C21" s="1441"/>
      <c r="D21" s="1442"/>
      <c r="E21" s="1442"/>
      <c r="F21" s="1442"/>
      <c r="G21" s="1442"/>
      <c r="H21" s="1443"/>
    </row>
    <row r="22" spans="1:9" s="281" customFormat="1" ht="15.5" x14ac:dyDescent="0.3">
      <c r="A22" s="1455" t="s">
        <v>1363</v>
      </c>
      <c r="B22" s="595"/>
      <c r="C22" s="595"/>
      <c r="D22" s="1430"/>
      <c r="E22" s="1431"/>
      <c r="F22" s="1431"/>
      <c r="G22" s="1431"/>
      <c r="H22" s="1432"/>
    </row>
    <row r="23" spans="1:9" s="281" customFormat="1" ht="39" x14ac:dyDescent="0.3">
      <c r="A23" s="1457" t="s">
        <v>1368</v>
      </c>
      <c r="B23" s="1433"/>
      <c r="C23" s="1433"/>
      <c r="D23" s="1435"/>
      <c r="E23" s="1439"/>
      <c r="F23" s="1428"/>
      <c r="G23" s="1428"/>
      <c r="H23" s="1427"/>
    </row>
    <row r="24" spans="1:9" s="281" customFormat="1" x14ac:dyDescent="0.3">
      <c r="A24" s="1457" t="s">
        <v>1364</v>
      </c>
      <c r="B24" s="1436"/>
      <c r="C24" s="1436"/>
      <c r="D24" s="1436"/>
      <c r="E24" s="1436"/>
      <c r="F24" s="1433"/>
      <c r="G24" s="1433"/>
      <c r="H24" s="1434"/>
    </row>
    <row r="25" spans="1:9" s="281" customFormat="1" x14ac:dyDescent="0.3">
      <c r="A25" s="1457" t="s">
        <v>1361</v>
      </c>
      <c r="B25" s="1433"/>
      <c r="C25" s="1433"/>
      <c r="D25" s="1433"/>
      <c r="E25" s="1433"/>
      <c r="F25" s="1433"/>
      <c r="G25" s="1433"/>
      <c r="H25" s="1434"/>
      <c r="I25" s="1418"/>
    </row>
    <row r="26" spans="1:9" s="281" customFormat="1" x14ac:dyDescent="0.3">
      <c r="A26" s="1457" t="s">
        <v>1356</v>
      </c>
      <c r="B26" s="1433"/>
      <c r="C26" s="1433"/>
      <c r="D26" s="1433"/>
      <c r="E26" s="1433"/>
      <c r="F26" s="1433"/>
      <c r="G26" s="1433"/>
      <c r="H26" s="1434"/>
      <c r="I26" s="1418"/>
    </row>
    <row r="27" spans="1:9" s="281" customFormat="1" ht="26" x14ac:dyDescent="0.3">
      <c r="A27" s="1457" t="s">
        <v>1366</v>
      </c>
      <c r="B27" s="1433"/>
      <c r="C27" s="1433"/>
      <c r="D27" s="1433"/>
      <c r="E27" s="1433"/>
      <c r="F27" s="1433"/>
      <c r="G27" s="1433"/>
      <c r="H27" s="1434"/>
      <c r="I27" s="1418"/>
    </row>
    <row r="28" spans="1:9" s="281" customFormat="1" ht="26" x14ac:dyDescent="0.3">
      <c r="A28" s="1457" t="s">
        <v>1367</v>
      </c>
      <c r="B28" s="595"/>
      <c r="C28" s="595"/>
      <c r="D28" s="595"/>
      <c r="E28" s="595"/>
      <c r="F28" s="595"/>
      <c r="G28" s="595"/>
      <c r="H28" s="1434"/>
      <c r="I28" s="1418"/>
    </row>
    <row r="29" spans="1:9" s="281" customFormat="1" x14ac:dyDescent="0.3">
      <c r="A29" s="1457" t="s">
        <v>1357</v>
      </c>
      <c r="B29" s="595"/>
      <c r="C29" s="595"/>
      <c r="D29" s="1433"/>
      <c r="E29" s="595"/>
      <c r="F29" s="595"/>
      <c r="G29" s="595"/>
      <c r="H29" s="1401"/>
      <c r="I29" s="1418"/>
    </row>
    <row r="30" spans="1:9" s="281" customFormat="1" ht="13.5" thickBot="1" x14ac:dyDescent="0.35">
      <c r="A30" s="1458" t="s">
        <v>1372</v>
      </c>
      <c r="B30" s="1459"/>
      <c r="C30" s="1459"/>
      <c r="D30" s="1459"/>
      <c r="E30" s="1459"/>
      <c r="F30" s="1459"/>
      <c r="G30" s="1459"/>
      <c r="H30" s="1460"/>
      <c r="I30" s="1418"/>
    </row>
    <row r="31" spans="1:9" x14ac:dyDescent="0.3">
      <c r="A31" s="300"/>
      <c r="B31" s="301"/>
      <c r="C31" s="301"/>
      <c r="D31" s="301"/>
      <c r="E31" s="301"/>
      <c r="F31" s="301"/>
      <c r="G31" s="301"/>
      <c r="H31" s="301"/>
    </row>
    <row r="32" spans="1:9" x14ac:dyDescent="0.3">
      <c r="A32" s="300" t="s">
        <v>1365</v>
      </c>
      <c r="B32" s="301"/>
      <c r="C32" s="301"/>
      <c r="D32" s="301"/>
      <c r="E32" s="301"/>
      <c r="F32" s="301"/>
      <c r="G32" s="301"/>
      <c r="H32" s="301"/>
    </row>
    <row r="33" spans="1:240" s="261" customFormat="1" x14ac:dyDescent="0.3">
      <c r="A33" s="300"/>
      <c r="B33" s="301"/>
      <c r="C33" s="301"/>
      <c r="D33" s="301"/>
      <c r="E33" s="301"/>
      <c r="F33" s="301"/>
      <c r="G33" s="301"/>
      <c r="H33" s="301"/>
      <c r="I33" s="217"/>
      <c r="J33" s="217"/>
      <c r="K33" s="217"/>
      <c r="L33" s="217"/>
      <c r="M33" s="217"/>
      <c r="N33" s="217"/>
      <c r="O33" s="217"/>
      <c r="P33" s="217"/>
      <c r="Q33" s="217"/>
      <c r="R33" s="217"/>
      <c r="S33" s="217"/>
      <c r="T33" s="217"/>
      <c r="U33" s="217"/>
      <c r="V33" s="217"/>
      <c r="W33" s="217"/>
      <c r="X33" s="217"/>
      <c r="Y33" s="217"/>
      <c r="Z33" s="217"/>
      <c r="AA33" s="217"/>
      <c r="AB33" s="217"/>
      <c r="AC33" s="217"/>
      <c r="AD33" s="217"/>
      <c r="AE33" s="217"/>
      <c r="AF33" s="217"/>
      <c r="AG33" s="217"/>
      <c r="AH33" s="217"/>
      <c r="AI33" s="217"/>
      <c r="AJ33" s="217"/>
      <c r="AK33" s="217"/>
      <c r="AL33" s="217"/>
      <c r="AM33" s="217"/>
      <c r="AN33" s="217"/>
      <c r="AO33" s="217"/>
      <c r="AP33" s="217"/>
      <c r="AQ33" s="217"/>
      <c r="AR33" s="217"/>
      <c r="AS33" s="217"/>
      <c r="AT33" s="217"/>
      <c r="AU33" s="217"/>
      <c r="AV33" s="217"/>
      <c r="AW33" s="217"/>
      <c r="AX33" s="217"/>
      <c r="AY33" s="217"/>
      <c r="AZ33" s="217"/>
      <c r="BA33" s="217"/>
      <c r="BB33" s="217"/>
      <c r="BC33" s="217"/>
      <c r="BD33" s="217"/>
      <c r="BE33" s="217"/>
      <c r="BF33" s="217"/>
      <c r="BG33" s="217"/>
      <c r="BH33" s="217"/>
      <c r="BI33" s="217"/>
      <c r="BJ33" s="217"/>
      <c r="BK33" s="217"/>
      <c r="BL33" s="217"/>
      <c r="BM33" s="217"/>
      <c r="BN33" s="217"/>
      <c r="BO33" s="217"/>
      <c r="BP33" s="217"/>
      <c r="BQ33" s="217"/>
      <c r="BR33" s="217"/>
      <c r="BS33" s="217"/>
      <c r="BT33" s="217"/>
      <c r="BU33" s="217"/>
      <c r="BV33" s="217"/>
      <c r="BW33" s="217"/>
      <c r="BX33" s="217"/>
      <c r="BY33" s="217"/>
      <c r="BZ33" s="217"/>
      <c r="CA33" s="217"/>
      <c r="CB33" s="217"/>
      <c r="CC33" s="217"/>
      <c r="CD33" s="217"/>
      <c r="CE33" s="217"/>
      <c r="CF33" s="217"/>
      <c r="CG33" s="217"/>
      <c r="CH33" s="217"/>
      <c r="CI33" s="217"/>
      <c r="CJ33" s="217"/>
      <c r="CK33" s="217"/>
      <c r="CL33" s="217"/>
      <c r="CM33" s="217"/>
      <c r="CN33" s="217"/>
      <c r="CO33" s="217"/>
      <c r="CP33" s="217"/>
      <c r="CQ33" s="217"/>
      <c r="CR33" s="217"/>
      <c r="CS33" s="217"/>
      <c r="CT33" s="217"/>
      <c r="CU33" s="217"/>
      <c r="CV33" s="217"/>
      <c r="CW33" s="217"/>
      <c r="CX33" s="217"/>
      <c r="CY33" s="217"/>
      <c r="CZ33" s="217"/>
      <c r="DA33" s="217"/>
      <c r="DB33" s="217"/>
      <c r="DC33" s="217"/>
      <c r="DD33" s="217"/>
      <c r="DE33" s="217"/>
      <c r="DF33" s="217"/>
      <c r="DG33" s="217"/>
      <c r="DH33" s="217"/>
      <c r="DI33" s="217"/>
      <c r="DJ33" s="217"/>
      <c r="DK33" s="217"/>
      <c r="DL33" s="217"/>
      <c r="DM33" s="217"/>
      <c r="DN33" s="217"/>
      <c r="DO33" s="217"/>
      <c r="DP33" s="217"/>
      <c r="DQ33" s="217"/>
      <c r="DR33" s="217"/>
      <c r="DS33" s="217"/>
      <c r="DT33" s="217"/>
      <c r="DU33" s="217"/>
      <c r="DV33" s="217"/>
      <c r="DW33" s="217"/>
      <c r="DX33" s="217"/>
      <c r="DY33" s="217"/>
      <c r="DZ33" s="217"/>
      <c r="EA33" s="217"/>
      <c r="EB33" s="217"/>
      <c r="EC33" s="217"/>
      <c r="ED33" s="217"/>
      <c r="EE33" s="217"/>
      <c r="EF33" s="217"/>
      <c r="EG33" s="217"/>
      <c r="EH33" s="217"/>
      <c r="EI33" s="217"/>
      <c r="EJ33" s="217"/>
      <c r="EK33" s="217"/>
      <c r="EL33" s="217"/>
      <c r="EM33" s="217"/>
      <c r="EN33" s="217"/>
      <c r="EO33" s="217"/>
      <c r="EP33" s="217"/>
      <c r="EQ33" s="217"/>
      <c r="ER33" s="217"/>
      <c r="ES33" s="217"/>
      <c r="ET33" s="217"/>
      <c r="EU33" s="217"/>
      <c r="EV33" s="217"/>
      <c r="EW33" s="217"/>
      <c r="EX33" s="217"/>
      <c r="EY33" s="217"/>
      <c r="EZ33" s="217"/>
      <c r="FA33" s="217"/>
      <c r="FB33" s="217"/>
      <c r="FC33" s="217"/>
      <c r="FD33" s="217"/>
      <c r="FE33" s="217"/>
      <c r="FF33" s="217"/>
      <c r="FG33" s="217"/>
      <c r="FH33" s="217"/>
      <c r="FI33" s="217"/>
      <c r="FJ33" s="217"/>
      <c r="FK33" s="217"/>
      <c r="FL33" s="217"/>
      <c r="FM33" s="217"/>
      <c r="FN33" s="217"/>
      <c r="FO33" s="217"/>
      <c r="FP33" s="217"/>
      <c r="FQ33" s="217"/>
      <c r="FR33" s="217"/>
      <c r="FS33" s="217"/>
      <c r="FT33" s="217"/>
      <c r="FU33" s="217"/>
      <c r="FV33" s="217"/>
      <c r="FW33" s="217"/>
      <c r="FX33" s="217"/>
      <c r="FY33" s="217"/>
      <c r="FZ33" s="217"/>
      <c r="GA33" s="217"/>
      <c r="GB33" s="217"/>
      <c r="GC33" s="217"/>
      <c r="GD33" s="217"/>
      <c r="GE33" s="217"/>
      <c r="GF33" s="217"/>
      <c r="GG33" s="217"/>
      <c r="GH33" s="217"/>
      <c r="GI33" s="217"/>
      <c r="GJ33" s="217"/>
      <c r="GK33" s="217"/>
      <c r="GL33" s="217"/>
      <c r="GM33" s="217"/>
      <c r="GN33" s="217"/>
      <c r="GO33" s="217"/>
      <c r="GP33" s="217"/>
      <c r="GQ33" s="217"/>
      <c r="GR33" s="217"/>
      <c r="GS33" s="217"/>
      <c r="GT33" s="217"/>
      <c r="GU33" s="217"/>
      <c r="GV33" s="217"/>
      <c r="GW33" s="217"/>
      <c r="GX33" s="217"/>
      <c r="GY33" s="217"/>
      <c r="GZ33" s="217"/>
      <c r="HA33" s="217"/>
      <c r="HB33" s="217"/>
      <c r="HC33" s="217"/>
      <c r="HD33" s="217"/>
      <c r="HE33" s="217"/>
      <c r="HF33" s="217"/>
      <c r="HG33" s="217"/>
      <c r="HH33" s="217"/>
      <c r="HI33" s="217"/>
      <c r="HJ33" s="217"/>
      <c r="HK33" s="217"/>
      <c r="HL33" s="217"/>
      <c r="HM33" s="217"/>
      <c r="HN33" s="217"/>
      <c r="HO33" s="217"/>
      <c r="HP33" s="217"/>
      <c r="HQ33" s="217"/>
      <c r="HR33" s="217"/>
      <c r="HS33" s="217"/>
      <c r="HT33" s="217"/>
      <c r="HU33" s="217"/>
      <c r="HV33" s="217"/>
      <c r="HW33" s="217"/>
      <c r="HX33" s="217"/>
      <c r="HY33" s="217"/>
      <c r="HZ33" s="217"/>
      <c r="IA33" s="217"/>
      <c r="IB33" s="217"/>
      <c r="IC33" s="217"/>
      <c r="ID33" s="217"/>
      <c r="IE33" s="217"/>
      <c r="IF33" s="217"/>
    </row>
    <row r="34" spans="1:240" s="261" customFormat="1" x14ac:dyDescent="0.3">
      <c r="A34" s="300"/>
      <c r="B34" s="301"/>
      <c r="C34" s="301"/>
      <c r="D34" s="301"/>
      <c r="E34" s="301"/>
      <c r="F34" s="301"/>
      <c r="G34" s="301"/>
      <c r="H34" s="301"/>
      <c r="I34" s="217"/>
      <c r="J34" s="217"/>
      <c r="K34" s="217"/>
      <c r="L34" s="217"/>
      <c r="M34" s="217"/>
      <c r="N34" s="217"/>
      <c r="O34" s="217"/>
      <c r="P34" s="217"/>
      <c r="Q34" s="217"/>
      <c r="R34" s="217"/>
      <c r="S34" s="217"/>
      <c r="T34" s="217"/>
      <c r="U34" s="217"/>
      <c r="V34" s="217"/>
      <c r="W34" s="217"/>
      <c r="X34" s="217"/>
      <c r="Y34" s="217"/>
      <c r="Z34" s="217"/>
      <c r="AA34" s="217"/>
      <c r="AB34" s="217"/>
      <c r="AC34" s="217"/>
      <c r="AD34" s="217"/>
      <c r="AE34" s="217"/>
      <c r="AF34" s="217"/>
      <c r="AG34" s="217"/>
      <c r="AH34" s="217"/>
      <c r="AI34" s="217"/>
      <c r="AJ34" s="217"/>
      <c r="AK34" s="217"/>
      <c r="AL34" s="217"/>
      <c r="AM34" s="217"/>
      <c r="AN34" s="217"/>
      <c r="AO34" s="217"/>
      <c r="AP34" s="217"/>
      <c r="AQ34" s="217"/>
      <c r="AR34" s="217"/>
      <c r="AS34" s="217"/>
      <c r="AT34" s="217"/>
      <c r="AU34" s="217"/>
      <c r="AV34" s="217"/>
      <c r="AW34" s="217"/>
      <c r="AX34" s="217"/>
      <c r="AY34" s="217"/>
      <c r="AZ34" s="217"/>
      <c r="BA34" s="217"/>
      <c r="BB34" s="217"/>
      <c r="BC34" s="217"/>
      <c r="BD34" s="217"/>
      <c r="BE34" s="217"/>
      <c r="BF34" s="217"/>
      <c r="BG34" s="217"/>
      <c r="BH34" s="217"/>
      <c r="BI34" s="217"/>
      <c r="BJ34" s="217"/>
      <c r="BK34" s="217"/>
      <c r="BL34" s="217"/>
      <c r="BM34" s="217"/>
      <c r="BN34" s="217"/>
      <c r="BO34" s="217"/>
      <c r="BP34" s="217"/>
      <c r="BQ34" s="217"/>
      <c r="BR34" s="217"/>
      <c r="BS34" s="217"/>
      <c r="BT34" s="217"/>
      <c r="BU34" s="217"/>
      <c r="BV34" s="217"/>
      <c r="BW34" s="217"/>
      <c r="BX34" s="217"/>
      <c r="BY34" s="217"/>
      <c r="BZ34" s="217"/>
      <c r="CA34" s="217"/>
      <c r="CB34" s="217"/>
      <c r="CC34" s="217"/>
      <c r="CD34" s="217"/>
      <c r="CE34" s="217"/>
      <c r="CF34" s="217"/>
      <c r="CG34" s="217"/>
      <c r="CH34" s="217"/>
      <c r="CI34" s="217"/>
      <c r="CJ34" s="217"/>
      <c r="CK34" s="217"/>
      <c r="CL34" s="217"/>
      <c r="CM34" s="217"/>
      <c r="CN34" s="217"/>
      <c r="CO34" s="217"/>
      <c r="CP34" s="217"/>
      <c r="CQ34" s="217"/>
      <c r="CR34" s="217"/>
      <c r="CS34" s="217"/>
      <c r="CT34" s="217"/>
      <c r="CU34" s="217"/>
      <c r="CV34" s="217"/>
      <c r="CW34" s="217"/>
      <c r="CX34" s="217"/>
      <c r="CY34" s="217"/>
      <c r="CZ34" s="217"/>
      <c r="DA34" s="217"/>
      <c r="DB34" s="217"/>
      <c r="DC34" s="217"/>
      <c r="DD34" s="217"/>
      <c r="DE34" s="217"/>
      <c r="DF34" s="217"/>
      <c r="DG34" s="217"/>
      <c r="DH34" s="217"/>
      <c r="DI34" s="217"/>
      <c r="DJ34" s="217"/>
      <c r="DK34" s="217"/>
      <c r="DL34" s="217"/>
      <c r="DM34" s="217"/>
      <c r="DN34" s="217"/>
      <c r="DO34" s="217"/>
      <c r="DP34" s="217"/>
      <c r="DQ34" s="217"/>
      <c r="DR34" s="217"/>
      <c r="DS34" s="217"/>
      <c r="DT34" s="217"/>
      <c r="DU34" s="217"/>
      <c r="DV34" s="217"/>
      <c r="DW34" s="217"/>
      <c r="DX34" s="217"/>
      <c r="DY34" s="217"/>
      <c r="DZ34" s="217"/>
      <c r="EA34" s="217"/>
      <c r="EB34" s="217"/>
      <c r="EC34" s="217"/>
      <c r="ED34" s="217"/>
      <c r="EE34" s="217"/>
      <c r="EF34" s="217"/>
      <c r="EG34" s="217"/>
      <c r="EH34" s="217"/>
      <c r="EI34" s="217"/>
      <c r="EJ34" s="217"/>
      <c r="EK34" s="217"/>
      <c r="EL34" s="217"/>
      <c r="EM34" s="217"/>
      <c r="EN34" s="217"/>
      <c r="EO34" s="217"/>
      <c r="EP34" s="217"/>
      <c r="EQ34" s="217"/>
      <c r="ER34" s="217"/>
      <c r="ES34" s="217"/>
      <c r="ET34" s="217"/>
      <c r="EU34" s="217"/>
      <c r="EV34" s="217"/>
      <c r="EW34" s="217"/>
      <c r="EX34" s="217"/>
      <c r="EY34" s="217"/>
      <c r="EZ34" s="217"/>
      <c r="FA34" s="217"/>
      <c r="FB34" s="217"/>
      <c r="FC34" s="217"/>
      <c r="FD34" s="217"/>
      <c r="FE34" s="217"/>
      <c r="FF34" s="217"/>
      <c r="FG34" s="217"/>
      <c r="FH34" s="217"/>
      <c r="FI34" s="217"/>
      <c r="FJ34" s="217"/>
      <c r="FK34" s="217"/>
      <c r="FL34" s="217"/>
      <c r="FM34" s="217"/>
      <c r="FN34" s="217"/>
      <c r="FO34" s="217"/>
      <c r="FP34" s="217"/>
      <c r="FQ34" s="217"/>
      <c r="FR34" s="217"/>
      <c r="FS34" s="217"/>
      <c r="FT34" s="217"/>
      <c r="FU34" s="217"/>
      <c r="FV34" s="217"/>
      <c r="FW34" s="217"/>
      <c r="FX34" s="217"/>
      <c r="FY34" s="217"/>
      <c r="FZ34" s="217"/>
      <c r="GA34" s="217"/>
      <c r="GB34" s="217"/>
      <c r="GC34" s="217"/>
      <c r="GD34" s="217"/>
      <c r="GE34" s="217"/>
      <c r="GF34" s="217"/>
      <c r="GG34" s="217"/>
      <c r="GH34" s="217"/>
      <c r="GI34" s="217"/>
      <c r="GJ34" s="217"/>
      <c r="GK34" s="217"/>
      <c r="GL34" s="217"/>
      <c r="GM34" s="217"/>
      <c r="GN34" s="217"/>
      <c r="GO34" s="217"/>
      <c r="GP34" s="217"/>
      <c r="GQ34" s="217"/>
      <c r="GR34" s="217"/>
      <c r="GS34" s="217"/>
      <c r="GT34" s="217"/>
      <c r="GU34" s="217"/>
      <c r="GV34" s="217"/>
      <c r="GW34" s="217"/>
      <c r="GX34" s="217"/>
      <c r="GY34" s="217"/>
      <c r="GZ34" s="217"/>
      <c r="HA34" s="217"/>
      <c r="HB34" s="217"/>
      <c r="HC34" s="217"/>
      <c r="HD34" s="217"/>
      <c r="HE34" s="217"/>
      <c r="HF34" s="217"/>
      <c r="HG34" s="217"/>
      <c r="HH34" s="217"/>
      <c r="HI34" s="217"/>
      <c r="HJ34" s="217"/>
      <c r="HK34" s="217"/>
      <c r="HL34" s="217"/>
      <c r="HM34" s="217"/>
      <c r="HN34" s="217"/>
      <c r="HO34" s="217"/>
      <c r="HP34" s="217"/>
      <c r="HQ34" s="217"/>
      <c r="HR34" s="217"/>
      <c r="HS34" s="217"/>
      <c r="HT34" s="217"/>
      <c r="HU34" s="217"/>
      <c r="HV34" s="217"/>
      <c r="HW34" s="217"/>
      <c r="HX34" s="217"/>
      <c r="HY34" s="217"/>
      <c r="HZ34" s="217"/>
      <c r="IA34" s="217"/>
      <c r="IB34" s="217"/>
      <c r="IC34" s="217"/>
      <c r="ID34" s="217"/>
      <c r="IE34" s="217"/>
      <c r="IF34" s="217"/>
    </row>
    <row r="35" spans="1:240" s="261" customFormat="1" x14ac:dyDescent="0.3">
      <c r="B35" s="304"/>
      <c r="C35" s="304"/>
      <c r="D35" s="304"/>
      <c r="E35" s="304"/>
      <c r="F35" s="304"/>
      <c r="G35" s="304"/>
      <c r="H35" s="304"/>
    </row>
    <row r="36" spans="1:240" s="261" customFormat="1" x14ac:dyDescent="0.3">
      <c r="B36" s="306"/>
      <c r="C36" s="306"/>
      <c r="D36" s="306"/>
      <c r="E36" s="306"/>
      <c r="F36" s="306"/>
      <c r="G36" s="306"/>
      <c r="H36" s="306"/>
    </row>
    <row r="37" spans="1:240" s="261" customFormat="1" x14ac:dyDescent="0.3">
      <c r="B37" s="304"/>
      <c r="C37" s="304"/>
      <c r="D37" s="304"/>
      <c r="E37" s="304"/>
      <c r="F37" s="304"/>
      <c r="G37" s="304"/>
      <c r="H37" s="304"/>
    </row>
    <row r="38" spans="1:240" s="261" customFormat="1" x14ac:dyDescent="0.3"/>
    <row r="39" spans="1:240" s="261" customFormat="1" x14ac:dyDescent="0.3">
      <c r="B39" s="309"/>
      <c r="C39" s="309"/>
      <c r="D39" s="309"/>
      <c r="E39" s="309"/>
      <c r="F39" s="309"/>
      <c r="G39" s="309"/>
      <c r="H39" s="309"/>
    </row>
    <row r="40" spans="1:240" s="261" customFormat="1" x14ac:dyDescent="0.3"/>
    <row r="41" spans="1:240" s="261" customFormat="1" x14ac:dyDescent="0.3">
      <c r="B41" s="309"/>
      <c r="C41" s="309"/>
      <c r="D41" s="309"/>
      <c r="E41" s="309"/>
      <c r="F41" s="309"/>
      <c r="G41" s="309"/>
      <c r="H41" s="309"/>
    </row>
    <row r="42" spans="1:240" s="261" customFormat="1" x14ac:dyDescent="0.3">
      <c r="B42" s="259"/>
      <c r="C42" s="259"/>
      <c r="D42" s="259"/>
      <c r="E42" s="259"/>
      <c r="F42" s="259"/>
      <c r="G42" s="259"/>
      <c r="H42" s="259"/>
    </row>
    <row r="43" spans="1:240" s="261" customFormat="1" x14ac:dyDescent="0.3">
      <c r="B43" s="259"/>
      <c r="C43" s="259"/>
      <c r="D43" s="259"/>
      <c r="E43" s="259"/>
      <c r="F43" s="259"/>
      <c r="G43" s="259"/>
      <c r="H43" s="259"/>
    </row>
  </sheetData>
  <mergeCells count="2">
    <mergeCell ref="A3:A5"/>
    <mergeCell ref="B3:H3"/>
  </mergeCells>
  <pageMargins left="0.7" right="0.7" top="0.75" bottom="0.75" header="0.3" footer="0.3"/>
  <pageSetup paperSize="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8" tint="0.59999389629810485"/>
    <pageSetUpPr fitToPage="1"/>
  </sheetPr>
  <dimension ref="A1:W93"/>
  <sheetViews>
    <sheetView zoomScale="90" zoomScaleNormal="90" workbookViewId="0">
      <pane ySplit="2" topLeftCell="A72" activePane="bottomLeft" state="frozenSplit"/>
      <selection pane="bottomLeft" activeCell="N94" sqref="N94"/>
    </sheetView>
  </sheetViews>
  <sheetFormatPr defaultColWidth="9.1796875" defaultRowHeight="14" x14ac:dyDescent="0.3"/>
  <cols>
    <col min="1" max="1" width="5" style="761" customWidth="1"/>
    <col min="2" max="2" width="6.7265625" style="761" customWidth="1"/>
    <col min="3" max="3" width="4.453125" style="761" customWidth="1"/>
    <col min="4" max="4" width="22.54296875" style="761" customWidth="1"/>
    <col min="5" max="5" width="7.54296875" style="761" customWidth="1"/>
    <col min="6" max="6" width="29.26953125" style="761" customWidth="1"/>
    <col min="7" max="7" width="7.453125" style="761" customWidth="1"/>
    <col min="8" max="8" width="7.54296875" style="761" customWidth="1"/>
    <col min="9" max="9" width="6.81640625" style="884" customWidth="1"/>
    <col min="10" max="10" width="6.54296875" style="761" customWidth="1"/>
    <col min="11" max="11" width="17" style="885" customWidth="1"/>
    <col min="12" max="12" width="6.453125" style="761" customWidth="1"/>
    <col min="13" max="13" width="5.81640625" style="761" customWidth="1"/>
    <col min="14" max="14" width="11" style="761" customWidth="1"/>
    <col min="15" max="15" width="13" style="761" customWidth="1"/>
    <col min="16" max="16" width="14.1796875" style="761" customWidth="1"/>
    <col min="17" max="17" width="13.81640625" style="761" customWidth="1"/>
    <col min="18" max="18" width="14.1796875" style="761" customWidth="1"/>
    <col min="19" max="19" width="13.54296875" style="761" customWidth="1"/>
    <col min="20" max="20" width="10" style="761" customWidth="1"/>
    <col min="21" max="21" width="10.7265625" style="761" customWidth="1"/>
    <col min="22" max="16384" width="9.1796875" style="761"/>
  </cols>
  <sheetData>
    <row r="1" spans="1:20" s="758" customFormat="1" ht="27.75" customHeight="1" thickBot="1" x14ac:dyDescent="0.5">
      <c r="F1" s="759" t="s">
        <v>589</v>
      </c>
      <c r="I1" s="760"/>
      <c r="J1" s="761"/>
      <c r="K1" s="762"/>
    </row>
    <row r="2" spans="1:20" s="769" customFormat="1" ht="123" customHeight="1" thickBot="1" x14ac:dyDescent="0.35">
      <c r="A2" s="763" t="s">
        <v>590</v>
      </c>
      <c r="B2" s="764" t="s">
        <v>591</v>
      </c>
      <c r="C2" s="765" t="s">
        <v>592</v>
      </c>
      <c r="D2" s="765" t="s">
        <v>593</v>
      </c>
      <c r="E2" s="766" t="s">
        <v>594</v>
      </c>
      <c r="F2" s="765" t="s">
        <v>452</v>
      </c>
      <c r="G2" s="766" t="s">
        <v>595</v>
      </c>
      <c r="H2" s="766" t="s">
        <v>596</v>
      </c>
      <c r="I2" s="766" t="s">
        <v>597</v>
      </c>
      <c r="J2" s="767" t="s">
        <v>598</v>
      </c>
      <c r="K2" s="766" t="s">
        <v>455</v>
      </c>
      <c r="L2" s="766" t="s">
        <v>599</v>
      </c>
      <c r="M2" s="766" t="s">
        <v>600</v>
      </c>
      <c r="N2" s="768" t="s">
        <v>601</v>
      </c>
      <c r="O2" s="768" t="s">
        <v>602</v>
      </c>
      <c r="P2" s="768" t="s">
        <v>603</v>
      </c>
      <c r="Q2" s="768" t="s">
        <v>604</v>
      </c>
      <c r="R2" s="768" t="s">
        <v>605</v>
      </c>
      <c r="S2" s="768" t="s">
        <v>606</v>
      </c>
      <c r="T2" s="766" t="s">
        <v>607</v>
      </c>
    </row>
    <row r="3" spans="1:20" x14ac:dyDescent="0.3">
      <c r="A3" s="770" t="e">
        <f>LOOKUP(B3,[2]!Table1[Number],[2]!Table1[Koht])</f>
        <v>#REF!</v>
      </c>
      <c r="B3" s="771">
        <v>974</v>
      </c>
      <c r="C3" s="772" t="e">
        <f>LOOKUP(B3,[2]!Table1[Number],[2]!Table1[Seisundi indeks])</f>
        <v>#REF!</v>
      </c>
      <c r="D3" s="773" t="e">
        <f>LOOKUP(B3,[2]!Table1[Number],[2]!Table1[Nimi])</f>
        <v>#REF!</v>
      </c>
      <c r="E3" s="773" t="e">
        <f>LOOKUP(B3,[2]!Table1[Number],[2]!Table1[Tee nr])</f>
        <v>#REF!</v>
      </c>
      <c r="F3" s="773" t="e">
        <f>LOOKUP(B3,[2]!Table1[Number],[2]!Table1[Tee nimetus])</f>
        <v>#REF!</v>
      </c>
      <c r="G3" s="773" t="e">
        <f>LOOKUP(B3,[2]!Table1[Number],[2]!Table1[Algus mkaugus])</f>
        <v>#REF!</v>
      </c>
      <c r="H3" s="773" t="e">
        <f>LOOKUP(B3,[2]!Table1[Number],[2]!Table1[Silla pikkus])</f>
        <v>#REF!</v>
      </c>
      <c r="I3" s="774" t="e">
        <f>LOOKUP(B3,[2]!Table1[Number],[2]!Table1[Sõidutee laius sillal])</f>
        <v>#REF!</v>
      </c>
      <c r="J3" s="774" t="e">
        <f>LOOKUP(B3,[2]!Table1[Number],[2]!Table1[Regioon])</f>
        <v>#REF!</v>
      </c>
      <c r="K3" s="775" t="e">
        <f>LOOKUP(B3,[2]!Table1[Number],[2]!Table1[Maakond])</f>
        <v>#REF!</v>
      </c>
      <c r="L3" s="773" t="e">
        <f>LOOKUP(B3,[2]!Table1[Number],[2]!Table1[Aasta keskmine ööp. liiklus])</f>
        <v>#REF!</v>
      </c>
      <c r="M3" s="773" t="e">
        <f>LOOKUP(B3,[2]!Table1[Number],[2]!Table1[Ehitusaasta])</f>
        <v>#REF!</v>
      </c>
      <c r="N3" s="1531">
        <v>424986</v>
      </c>
      <c r="O3" s="1533">
        <v>324986</v>
      </c>
      <c r="P3" s="1531">
        <v>100000</v>
      </c>
      <c r="Q3" s="776"/>
      <c r="R3" s="776"/>
      <c r="S3" s="776"/>
      <c r="T3" s="777">
        <v>2017</v>
      </c>
    </row>
    <row r="4" spans="1:20" x14ac:dyDescent="0.3">
      <c r="A4" s="778" t="e">
        <f>LOOKUP(B4,[2]!Table1[Number],[2]!Table1[Koht])</f>
        <v>#REF!</v>
      </c>
      <c r="B4" s="779">
        <v>971</v>
      </c>
      <c r="C4" s="780" t="e">
        <f>LOOKUP(B4,[2]!Table1[Number],[2]!Table1[Seisundi indeks])</f>
        <v>#REF!</v>
      </c>
      <c r="D4" s="781" t="e">
        <f>LOOKUP(B4,[2]!Table1[Number],[2]!Table1[Nimi])</f>
        <v>#REF!</v>
      </c>
      <c r="E4" s="781" t="e">
        <f>LOOKUP(B4,[2]!Table1[Number],[2]!Table1[Tee nr])</f>
        <v>#REF!</v>
      </c>
      <c r="F4" s="781" t="e">
        <f>LOOKUP(B4,[2]!Table1[Number],[2]!Table1[Tee nimetus])</f>
        <v>#REF!</v>
      </c>
      <c r="G4" s="781" t="e">
        <f>LOOKUP(B4,[2]!Table1[Number],[2]!Table1[Algus mkaugus])</f>
        <v>#REF!</v>
      </c>
      <c r="H4" s="781" t="e">
        <f>LOOKUP(B4,[2]!Table1[Number],[2]!Table1[Silla pikkus])</f>
        <v>#REF!</v>
      </c>
      <c r="I4" s="782" t="e">
        <f>LOOKUP(B4,[2]!Table1[Number],[2]!Table1[Sõidutee laius sillal])</f>
        <v>#REF!</v>
      </c>
      <c r="J4" s="782" t="e">
        <f>LOOKUP(B4,[2]!Table1[Number],[2]!Table1[Regioon])</f>
        <v>#REF!</v>
      </c>
      <c r="K4" s="783" t="e">
        <f>LOOKUP(B4,[2]!Table1[Number],[2]!Table1[Maakond])</f>
        <v>#REF!</v>
      </c>
      <c r="L4" s="781" t="e">
        <f>LOOKUP(B4,[2]!Table1[Number],[2]!Table1[Aasta keskmine ööp. liiklus])</f>
        <v>#REF!</v>
      </c>
      <c r="M4" s="781" t="e">
        <f>LOOKUP(B4,[2]!Table1[Number],[2]!Table1[Ehitusaasta])</f>
        <v>#REF!</v>
      </c>
      <c r="N4" s="1532"/>
      <c r="O4" s="1534"/>
      <c r="P4" s="1532"/>
      <c r="Q4" s="784"/>
      <c r="R4" s="784"/>
      <c r="S4" s="784"/>
      <c r="T4" s="785">
        <v>2017</v>
      </c>
    </row>
    <row r="5" spans="1:20" ht="14.5" thickBot="1" x14ac:dyDescent="0.35">
      <c r="A5" s="786" t="e">
        <f>LOOKUP(B5,[2]!Table1[Number],[2]!Table1[Koht])</f>
        <v>#REF!</v>
      </c>
      <c r="B5" s="787">
        <v>858</v>
      </c>
      <c r="C5" s="788" t="e">
        <f>LOOKUP(B5,[2]!Table1[Number],[2]!Table1[Seisundi indeks])</f>
        <v>#REF!</v>
      </c>
      <c r="D5" s="789" t="e">
        <f>LOOKUP(B5,[2]!Table1[Number],[2]!Table1[Nimi])</f>
        <v>#REF!</v>
      </c>
      <c r="E5" s="789" t="e">
        <f>LOOKUP(B5,[2]!Table1[Number],[2]!Table1[Tee nr])</f>
        <v>#REF!</v>
      </c>
      <c r="F5" s="789" t="e">
        <f>LOOKUP(B5,[2]!Table1[Number],[2]!Table1[Tee nimetus])</f>
        <v>#REF!</v>
      </c>
      <c r="G5" s="789" t="e">
        <f>LOOKUP(B5,[2]!Table1[Number],[2]!Table1[Algus mkaugus])</f>
        <v>#REF!</v>
      </c>
      <c r="H5" s="789" t="e">
        <f>LOOKUP(B5,[2]!Table1[Number],[2]!Table1[Silla pikkus])</f>
        <v>#REF!</v>
      </c>
      <c r="I5" s="790" t="e">
        <f>LOOKUP(B5,[2]!Table1[Number],[2]!Table1[Sõidutee laius sillal])</f>
        <v>#REF!</v>
      </c>
      <c r="J5" s="790" t="e">
        <f>LOOKUP(B5,[2]!Table1[Number],[2]!Table1[Regioon])</f>
        <v>#REF!</v>
      </c>
      <c r="K5" s="791" t="e">
        <f>LOOKUP(B5,[2]!Table1[Number],[2]!Table1[Maakond])</f>
        <v>#REF!</v>
      </c>
      <c r="L5" s="789" t="e">
        <f>LOOKUP(B5,[2]!Table1[Number],[2]!Table1[Aasta keskmine ööp. liiklus])</f>
        <v>#REF!</v>
      </c>
      <c r="M5" s="789" t="e">
        <f>LOOKUP(B5,[2]!Table1[Number],[2]!Table1[Ehitusaasta])</f>
        <v>#REF!</v>
      </c>
      <c r="N5" s="792">
        <v>251066</v>
      </c>
      <c r="O5" s="792">
        <v>151066</v>
      </c>
      <c r="P5" s="792">
        <v>100000</v>
      </c>
      <c r="Q5" s="793"/>
      <c r="R5" s="793"/>
      <c r="S5" s="793"/>
      <c r="T5" s="794">
        <v>2017</v>
      </c>
    </row>
    <row r="6" spans="1:20" ht="16" thickBot="1" x14ac:dyDescent="0.4">
      <c r="A6" s="795"/>
      <c r="B6" s="795"/>
      <c r="C6" s="796"/>
      <c r="D6" s="796"/>
      <c r="E6" s="796"/>
      <c r="F6" s="797" t="s">
        <v>608</v>
      </c>
      <c r="G6" s="798"/>
      <c r="H6" s="796"/>
      <c r="I6" s="796"/>
      <c r="J6" s="796"/>
      <c r="K6" s="796"/>
      <c r="L6" s="796"/>
      <c r="M6" s="796"/>
      <c r="N6" s="799"/>
      <c r="O6" s="800"/>
      <c r="P6" s="800"/>
      <c r="Q6" s="800"/>
      <c r="R6" s="800"/>
      <c r="S6" s="800"/>
      <c r="T6" s="801"/>
    </row>
    <row r="7" spans="1:20" x14ac:dyDescent="0.3">
      <c r="A7" s="778" t="e">
        <f>LOOKUP(B7,[2]!Table1[Number],[2]!Table1[Koht])</f>
        <v>#REF!</v>
      </c>
      <c r="B7" s="779">
        <v>280</v>
      </c>
      <c r="C7" s="780" t="e">
        <f>LOOKUP(B7,[2]!Table1[Number],[2]!Table1[Seisundi indeks])</f>
        <v>#REF!</v>
      </c>
      <c r="D7" s="781" t="e">
        <f>LOOKUP(B7,[2]!Table1[Number],[2]!Table1[Nimi])</f>
        <v>#REF!</v>
      </c>
      <c r="E7" s="781" t="e">
        <f>LOOKUP(B7,[2]!Table1[Number],[2]!Table1[Tee nr])</f>
        <v>#REF!</v>
      </c>
      <c r="F7" s="781" t="e">
        <f>LOOKUP(B7,[2]!Table1[Number],[2]!Table1[Tee nimetus])</f>
        <v>#REF!</v>
      </c>
      <c r="G7" s="781" t="e">
        <f>LOOKUP(B7,[2]!Table1[Number],[2]!Table1[Algus mkaugus])</f>
        <v>#REF!</v>
      </c>
      <c r="H7" s="781" t="e">
        <f>LOOKUP(B7,[2]!Table1[Number],[2]!Table1[Silla pikkus])</f>
        <v>#REF!</v>
      </c>
      <c r="I7" s="782" t="e">
        <f>LOOKUP(B7,[2]!Table1[Number],[2]!Table1[Sõidutee laius sillal])</f>
        <v>#REF!</v>
      </c>
      <c r="J7" s="782" t="e">
        <f>LOOKUP(B7,[2]!Table1[Number],[2]!Table1[Regioon])</f>
        <v>#REF!</v>
      </c>
      <c r="K7" s="783" t="e">
        <f>LOOKUP(B7,[2]!Table1[Number],[2]!Table1[Maakond])</f>
        <v>#REF!</v>
      </c>
      <c r="L7" s="781" t="e">
        <f>LOOKUP(B7,[2]!Table1[Number],[2]!Table1[Aasta keskmine ööp. liiklus])</f>
        <v>#REF!</v>
      </c>
      <c r="M7" s="781" t="e">
        <f>LOOKUP(B7,[2]!Table1[Number],[2]!Table1[Ehitusaasta])</f>
        <v>#REF!</v>
      </c>
      <c r="N7" s="802">
        <v>135000</v>
      </c>
      <c r="O7" s="802"/>
      <c r="P7" s="802">
        <v>135000</v>
      </c>
      <c r="Q7" s="784"/>
      <c r="R7" s="784"/>
      <c r="S7" s="784"/>
      <c r="T7" s="785">
        <v>2020</v>
      </c>
    </row>
    <row r="8" spans="1:20" x14ac:dyDescent="0.3">
      <c r="A8" s="778" t="e">
        <f>LOOKUP(B8,[2]!Table1[Number],[2]!Table1[Koht])</f>
        <v>#REF!</v>
      </c>
      <c r="B8" s="779">
        <v>185</v>
      </c>
      <c r="C8" s="780" t="e">
        <f>LOOKUP(B8,[2]!Table1[Number],[2]!Table1[Seisundi indeks])</f>
        <v>#REF!</v>
      </c>
      <c r="D8" s="781" t="e">
        <f>LOOKUP(B8,[2]!Table1[Number],[2]!Table1[Nimi])</f>
        <v>#REF!</v>
      </c>
      <c r="E8" s="781" t="e">
        <f>LOOKUP(B8,[2]!Table1[Number],[2]!Table1[Tee nr])</f>
        <v>#REF!</v>
      </c>
      <c r="F8" s="781" t="e">
        <f>LOOKUP(B8,[2]!Table1[Number],[2]!Table1[Tee nimetus])</f>
        <v>#REF!</v>
      </c>
      <c r="G8" s="781" t="e">
        <f>LOOKUP(B8,[2]!Table1[Number],[2]!Table1[Algus mkaugus])</f>
        <v>#REF!</v>
      </c>
      <c r="H8" s="781" t="e">
        <f>LOOKUP(B8,[2]!Table1[Number],[2]!Table1[Silla pikkus])</f>
        <v>#REF!</v>
      </c>
      <c r="I8" s="782" t="e">
        <f>LOOKUP(B8,[2]!Table1[Number],[2]!Table1[Sõidutee laius sillal])</f>
        <v>#REF!</v>
      </c>
      <c r="J8" s="782" t="e">
        <f>LOOKUP(B8,[2]!Table1[Number],[2]!Table1[Regioon])</f>
        <v>#REF!</v>
      </c>
      <c r="K8" s="783" t="e">
        <f>LOOKUP(B8,[2]!Table1[Number],[2]!Table1[Maakond])</f>
        <v>#REF!</v>
      </c>
      <c r="L8" s="781" t="e">
        <f>LOOKUP(B8,[2]!Table1[Number],[2]!Table1[Aasta keskmine ööp. liiklus])</f>
        <v>#REF!</v>
      </c>
      <c r="M8" s="781" t="e">
        <f>LOOKUP(B8,[2]!Table1[Number],[2]!Table1[Ehitusaasta])</f>
        <v>#REF!</v>
      </c>
      <c r="N8" s="784">
        <v>200000</v>
      </c>
      <c r="O8" s="784"/>
      <c r="P8" s="784"/>
      <c r="Q8" s="803">
        <v>200000</v>
      </c>
      <c r="R8" s="784"/>
      <c r="S8" s="784"/>
      <c r="T8" s="804">
        <v>2019</v>
      </c>
    </row>
    <row r="9" spans="1:20" x14ac:dyDescent="0.3">
      <c r="A9" s="778" t="e">
        <f>LOOKUP(B9,[2]!Table1[Number],[2]!Table1[Koht])</f>
        <v>#REF!</v>
      </c>
      <c r="B9" s="805">
        <v>432</v>
      </c>
      <c r="C9" s="780" t="e">
        <f>LOOKUP(B9,[2]!Table1[Number],[2]!Table1[Seisundi indeks])</f>
        <v>#REF!</v>
      </c>
      <c r="D9" s="781" t="e">
        <f>LOOKUP(B9,[2]!Table1[Number],[2]!Table1[Nimi])</f>
        <v>#REF!</v>
      </c>
      <c r="E9" s="781" t="e">
        <f>LOOKUP(B9,[2]!Table1[Number],[2]!Table1[Tee nr])</f>
        <v>#REF!</v>
      </c>
      <c r="F9" s="781" t="e">
        <f>LOOKUP(B9,[2]!Table1[Number],[2]!Table1[Tee nimetus])</f>
        <v>#REF!</v>
      </c>
      <c r="G9" s="781" t="e">
        <f>LOOKUP(B9,[2]!Table1[Number],[2]!Table1[Algus mkaugus])</f>
        <v>#REF!</v>
      </c>
      <c r="H9" s="781" t="e">
        <f>LOOKUP(B9,[2]!Table1[Number],[2]!Table1[Silla pikkus])</f>
        <v>#REF!</v>
      </c>
      <c r="I9" s="782" t="e">
        <f>LOOKUP(B9,[2]!Table1[Number],[2]!Table1[Sõidutee laius sillal])</f>
        <v>#REF!</v>
      </c>
      <c r="J9" s="782" t="e">
        <f>LOOKUP(B9,[2]!Table1[Number],[2]!Table1[Regioon])</f>
        <v>#REF!</v>
      </c>
      <c r="K9" s="783" t="e">
        <f>LOOKUP(B9,[2]!Table1[Number],[2]!Table1[Maakond])</f>
        <v>#REF!</v>
      </c>
      <c r="L9" s="781" t="e">
        <f>LOOKUP(B9,[2]!Table1[Number],[2]!Table1[Aasta keskmine ööp. liiklus])</f>
        <v>#REF!</v>
      </c>
      <c r="M9" s="781" t="e">
        <f>LOOKUP(B9,[2]!Table1[Number],[2]!Table1[Ehitusaasta])</f>
        <v>#REF!</v>
      </c>
      <c r="N9" s="802">
        <v>160000</v>
      </c>
      <c r="O9" s="802"/>
      <c r="P9" s="806">
        <v>160000</v>
      </c>
      <c r="Q9" s="784"/>
      <c r="R9" s="784"/>
      <c r="S9" s="784"/>
      <c r="T9" s="785">
        <v>2018</v>
      </c>
    </row>
    <row r="10" spans="1:20" x14ac:dyDescent="0.3">
      <c r="A10" s="778" t="e">
        <f>LOOKUP(B10,[2]!Table1[Number],[2]!Table1[Koht])</f>
        <v>#REF!</v>
      </c>
      <c r="B10" s="805">
        <v>593</v>
      </c>
      <c r="C10" s="780" t="e">
        <f>LOOKUP(B10,[2]!Table1[Number],[2]!Table1[Seisundi indeks])</f>
        <v>#REF!</v>
      </c>
      <c r="D10" s="781" t="e">
        <f>LOOKUP(B10,[2]!Table1[Number],[2]!Table1[Nimi])</f>
        <v>#REF!</v>
      </c>
      <c r="E10" s="781" t="e">
        <f>LOOKUP(B10,[2]!Table1[Number],[2]!Table1[Tee nr])</f>
        <v>#REF!</v>
      </c>
      <c r="F10" s="781" t="e">
        <f>LOOKUP(B10,[2]!Table1[Number],[2]!Table1[Tee nimetus])</f>
        <v>#REF!</v>
      </c>
      <c r="G10" s="781" t="e">
        <f>LOOKUP(B10,[2]!Table1[Number],[2]!Table1[Algus mkaugus])</f>
        <v>#REF!</v>
      </c>
      <c r="H10" s="781" t="e">
        <f>LOOKUP(B10,[2]!Table1[Number],[2]!Table1[Silla pikkus])</f>
        <v>#REF!</v>
      </c>
      <c r="I10" s="782" t="e">
        <f>LOOKUP(B10,[2]!Table1[Number],[2]!Table1[Sõidutee laius sillal])</f>
        <v>#REF!</v>
      </c>
      <c r="J10" s="782" t="e">
        <f>LOOKUP(B10,[2]!Table1[Number],[2]!Table1[Regioon])</f>
        <v>#REF!</v>
      </c>
      <c r="K10" s="783" t="e">
        <f>LOOKUP(B10,[2]!Table1[Number],[2]!Table1[Maakond])</f>
        <v>#REF!</v>
      </c>
      <c r="L10" s="781" t="e">
        <f>LOOKUP(B10,[2]!Table1[Number],[2]!Table1[Aasta keskmine ööp. liiklus])</f>
        <v>#REF!</v>
      </c>
      <c r="M10" s="781" t="e">
        <f>LOOKUP(B10,[2]!Table1[Number],[2]!Table1[Ehitusaasta])</f>
        <v>#REF!</v>
      </c>
      <c r="N10" s="807">
        <v>178000</v>
      </c>
      <c r="O10" s="808"/>
      <c r="P10" s="808"/>
      <c r="Q10" s="808"/>
      <c r="R10" s="808"/>
      <c r="S10" s="809">
        <v>178000</v>
      </c>
      <c r="T10" s="785">
        <v>2020</v>
      </c>
    </row>
    <row r="11" spans="1:20" x14ac:dyDescent="0.3">
      <c r="A11" s="778" t="e">
        <f>LOOKUP(B11,[2]!Table1[Number],[2]!Table1[Koht])</f>
        <v>#REF!</v>
      </c>
      <c r="B11" s="805">
        <v>502</v>
      </c>
      <c r="C11" s="780" t="e">
        <f>LOOKUP(B11,[2]!Table1[Number],[2]!Table1[Seisundi indeks])</f>
        <v>#REF!</v>
      </c>
      <c r="D11" s="781" t="e">
        <f>LOOKUP(B11,[2]!Table1[Number],[2]!Table1[Nimi])</f>
        <v>#REF!</v>
      </c>
      <c r="E11" s="781" t="e">
        <f>LOOKUP(B11,[2]!Table1[Number],[2]!Table1[Tee nr])</f>
        <v>#REF!</v>
      </c>
      <c r="F11" s="781" t="e">
        <f>LOOKUP(B11,[2]!Table1[Number],[2]!Table1[Tee nimetus])</f>
        <v>#REF!</v>
      </c>
      <c r="G11" s="781" t="e">
        <f>LOOKUP(B11,[2]!Table1[Number],[2]!Table1[Algus mkaugus])</f>
        <v>#REF!</v>
      </c>
      <c r="H11" s="781" t="e">
        <f>LOOKUP(B11,[2]!Table1[Number],[2]!Table1[Silla pikkus])</f>
        <v>#REF!</v>
      </c>
      <c r="I11" s="782" t="e">
        <f>LOOKUP(B11,[2]!Table1[Number],[2]!Table1[Sõidutee laius sillal])</f>
        <v>#REF!</v>
      </c>
      <c r="J11" s="782" t="e">
        <f>LOOKUP(B11,[2]!Table1[Number],[2]!Table1[Regioon])</f>
        <v>#REF!</v>
      </c>
      <c r="K11" s="783" t="e">
        <f>LOOKUP(B11,[2]!Table1[Number],[2]!Table1[Maakond])</f>
        <v>#REF!</v>
      </c>
      <c r="L11" s="781" t="e">
        <f>LOOKUP(B11,[2]!Table1[Number],[2]!Table1[Aasta keskmine ööp. liiklus])</f>
        <v>#REF!</v>
      </c>
      <c r="M11" s="781" t="e">
        <f>LOOKUP(B11,[2]!Table1[Number],[2]!Table1[Ehitusaasta])</f>
        <v>#REF!</v>
      </c>
      <c r="N11" s="802">
        <v>560000</v>
      </c>
      <c r="O11" s="802"/>
      <c r="P11" s="802">
        <v>360000</v>
      </c>
      <c r="Q11" s="784">
        <v>200000</v>
      </c>
      <c r="R11" s="784"/>
      <c r="S11" s="784"/>
      <c r="T11" s="785">
        <v>2018</v>
      </c>
    </row>
    <row r="12" spans="1:20" x14ac:dyDescent="0.3">
      <c r="A12" s="778" t="e">
        <f>LOOKUP(B12,[2]!Table1[Number],[2]!Table1[Koht])</f>
        <v>#REF!</v>
      </c>
      <c r="B12" s="805">
        <v>315</v>
      </c>
      <c r="C12" s="780" t="e">
        <f>LOOKUP(B12,[2]!Table1[Number],[2]!Table1[Seisundi indeks])</f>
        <v>#REF!</v>
      </c>
      <c r="D12" s="781" t="e">
        <f>LOOKUP(B12,[2]!Table1[Number],[2]!Table1[Nimi])</f>
        <v>#REF!</v>
      </c>
      <c r="E12" s="781" t="e">
        <f>LOOKUP(B12,[2]!Table1[Number],[2]!Table1[Tee nr])</f>
        <v>#REF!</v>
      </c>
      <c r="F12" s="781" t="e">
        <f>LOOKUP(B12,[2]!Table1[Number],[2]!Table1[Tee nimetus])</f>
        <v>#REF!</v>
      </c>
      <c r="G12" s="781" t="e">
        <f>LOOKUP(B12,[2]!Table1[Number],[2]!Table1[Algus mkaugus])</f>
        <v>#REF!</v>
      </c>
      <c r="H12" s="781" t="e">
        <f>LOOKUP(B12,[2]!Table1[Number],[2]!Table1[Silla pikkus])</f>
        <v>#REF!</v>
      </c>
      <c r="I12" s="782" t="e">
        <f>LOOKUP(B12,[2]!Table1[Number],[2]!Table1[Sõidutee laius sillal])</f>
        <v>#REF!</v>
      </c>
      <c r="J12" s="782" t="e">
        <f>LOOKUP(B12,[2]!Table1[Number],[2]!Table1[Regioon])</f>
        <v>#REF!</v>
      </c>
      <c r="K12" s="783" t="e">
        <f>LOOKUP(B12,[2]!Table1[Number],[2]!Table1[Maakond])</f>
        <v>#REF!</v>
      </c>
      <c r="L12" s="781" t="e">
        <f>LOOKUP(B12,[2]!Table1[Number],[2]!Table1[Aasta keskmine ööp. liiklus])</f>
        <v>#REF!</v>
      </c>
      <c r="M12" s="781" t="e">
        <f>LOOKUP(B12,[2]!Table1[Number],[2]!Table1[Ehitusaasta])</f>
        <v>#REF!</v>
      </c>
      <c r="N12" s="810">
        <v>153600</v>
      </c>
      <c r="O12" s="810"/>
      <c r="P12" s="811">
        <v>153600</v>
      </c>
      <c r="Q12" s="810"/>
      <c r="R12" s="810"/>
      <c r="S12" s="810"/>
      <c r="T12" s="785">
        <v>2018</v>
      </c>
    </row>
    <row r="13" spans="1:20" x14ac:dyDescent="0.3">
      <c r="A13" s="778" t="e">
        <f>LOOKUP(B13,[2]!Table1[Number],[2]!Table1[Koht])</f>
        <v>#REF!</v>
      </c>
      <c r="B13" s="779">
        <v>532</v>
      </c>
      <c r="C13" s="780" t="e">
        <f>LOOKUP(B13,[2]!Table1[Number],[2]!Table1[Seisundi indeks])</f>
        <v>#REF!</v>
      </c>
      <c r="D13" s="781" t="e">
        <f>LOOKUP(B13,[2]!Table1[Number],[2]!Table1[Nimi])</f>
        <v>#REF!</v>
      </c>
      <c r="E13" s="781" t="e">
        <f>LOOKUP(B13,[2]!Table1[Number],[2]!Table1[Tee nr])</f>
        <v>#REF!</v>
      </c>
      <c r="F13" s="781" t="e">
        <f>LOOKUP(B13,[2]!Table1[Number],[2]!Table1[Tee nimetus])</f>
        <v>#REF!</v>
      </c>
      <c r="G13" s="781" t="e">
        <f>LOOKUP(B13,[2]!Table1[Number],[2]!Table1[Algus mkaugus])</f>
        <v>#REF!</v>
      </c>
      <c r="H13" s="781" t="e">
        <f>LOOKUP(B13,[2]!Table1[Number],[2]!Table1[Silla pikkus])</f>
        <v>#REF!</v>
      </c>
      <c r="I13" s="782" t="e">
        <f>LOOKUP(B13,[2]!Table1[Number],[2]!Table1[Sõidutee laius sillal])</f>
        <v>#REF!</v>
      </c>
      <c r="J13" s="782" t="e">
        <f>LOOKUP(B13,[2]!Table1[Number],[2]!Table1[Regioon])</f>
        <v>#REF!</v>
      </c>
      <c r="K13" s="783" t="e">
        <f>LOOKUP(B13,[2]!Table1[Number],[2]!Table1[Maakond])</f>
        <v>#REF!</v>
      </c>
      <c r="L13" s="781" t="e">
        <f>LOOKUP(B13,[2]!Table1[Number],[2]!Table1[Aasta keskmine ööp. liiklus])</f>
        <v>#REF!</v>
      </c>
      <c r="M13" s="781" t="e">
        <f>LOOKUP(B13,[2]!Table1[Number],[2]!Table1[Ehitusaasta])</f>
        <v>#REF!</v>
      </c>
      <c r="N13" s="784">
        <v>160000</v>
      </c>
      <c r="O13" s="784"/>
      <c r="P13" s="784"/>
      <c r="Q13" s="784"/>
      <c r="R13" s="784">
        <v>160000</v>
      </c>
      <c r="S13" s="784"/>
      <c r="T13" s="812" t="s">
        <v>609</v>
      </c>
    </row>
    <row r="14" spans="1:20" ht="16.5" customHeight="1" x14ac:dyDescent="0.3">
      <c r="A14" s="778" t="e">
        <f>LOOKUP(B14,[2]!Table1[Number],[2]!Table1[Koht])</f>
        <v>#REF!</v>
      </c>
      <c r="B14" s="813">
        <v>577</v>
      </c>
      <c r="C14" s="780" t="e">
        <f>LOOKUP(B14,[2]!Table1[Number],[2]!Table1[Seisundi indeks])</f>
        <v>#REF!</v>
      </c>
      <c r="D14" s="781" t="e">
        <f>LOOKUP(B14,[2]!Table1[Number],[2]!Table1[Nimi])</f>
        <v>#REF!</v>
      </c>
      <c r="E14" s="781" t="e">
        <f>LOOKUP(B14,[2]!Table1[Number],[2]!Table1[Tee nr])</f>
        <v>#REF!</v>
      </c>
      <c r="F14" s="781" t="e">
        <f>LOOKUP(B14,[2]!Table1[Number],[2]!Table1[Tee nimetus])</f>
        <v>#REF!</v>
      </c>
      <c r="G14" s="781" t="e">
        <f>LOOKUP(B14,[2]!Table1[Number],[2]!Table1[Algus mkaugus])</f>
        <v>#REF!</v>
      </c>
      <c r="H14" s="781" t="e">
        <f>LOOKUP(B14,[2]!Table1[Number],[2]!Table1[Silla pikkus])</f>
        <v>#REF!</v>
      </c>
      <c r="I14" s="782" t="e">
        <f>LOOKUP(B14,[2]!Table1[Number],[2]!Table1[Sõidutee laius sillal])</f>
        <v>#REF!</v>
      </c>
      <c r="J14" s="782" t="e">
        <f>LOOKUP(B14,[2]!Table1[Number],[2]!Table1[Regioon])</f>
        <v>#REF!</v>
      </c>
      <c r="K14" s="783" t="e">
        <f>LOOKUP(B14,[2]!Table1[Number],[2]!Table1[Maakond])</f>
        <v>#REF!</v>
      </c>
      <c r="L14" s="781" t="e">
        <f>LOOKUP(B14,[2]!Table1[Number],[2]!Table1[Aasta keskmine ööp. liiklus])</f>
        <v>#REF!</v>
      </c>
      <c r="M14" s="781" t="e">
        <f>LOOKUP(B14,[2]!Table1[Number],[2]!Table1[Ehitusaasta])</f>
        <v>#REF!</v>
      </c>
      <c r="N14" s="814">
        <v>130000</v>
      </c>
      <c r="O14" s="815"/>
      <c r="P14" s="815"/>
      <c r="Q14" s="815"/>
      <c r="R14" s="814">
        <v>130000</v>
      </c>
      <c r="S14" s="815"/>
      <c r="T14" s="785">
        <v>2020</v>
      </c>
    </row>
    <row r="15" spans="1:20" x14ac:dyDescent="0.3">
      <c r="A15" s="778" t="e">
        <f>LOOKUP(B15,[2]!Table1[Number],[2]!Table1[Koht])</f>
        <v>#REF!</v>
      </c>
      <c r="B15" s="779">
        <v>578</v>
      </c>
      <c r="C15" s="780" t="e">
        <f>LOOKUP(B15,[2]!Table1[Number],[2]!Table1[Seisundi indeks])</f>
        <v>#REF!</v>
      </c>
      <c r="D15" s="781" t="e">
        <f>LOOKUP(B15,[2]!Table1[Number],[2]!Table1[Nimi])</f>
        <v>#REF!</v>
      </c>
      <c r="E15" s="781" t="e">
        <f>LOOKUP(B15,[2]!Table1[Number],[2]!Table1[Tee nr])</f>
        <v>#REF!</v>
      </c>
      <c r="F15" s="781" t="e">
        <f>LOOKUP(B15,[2]!Table1[Number],[2]!Table1[Tee nimetus])</f>
        <v>#REF!</v>
      </c>
      <c r="G15" s="781" t="e">
        <f>LOOKUP(B15,[2]!Table1[Number],[2]!Table1[Algus mkaugus])</f>
        <v>#REF!</v>
      </c>
      <c r="H15" s="781" t="e">
        <f>LOOKUP(B15,[2]!Table1[Number],[2]!Table1[Silla pikkus])</f>
        <v>#REF!</v>
      </c>
      <c r="I15" s="782" t="e">
        <f>LOOKUP(B15,[2]!Table1[Number],[2]!Table1[Sõidutee laius sillal])</f>
        <v>#REF!</v>
      </c>
      <c r="J15" s="782" t="e">
        <f>LOOKUP(B15,[2]!Table1[Number],[2]!Table1[Regioon])</f>
        <v>#REF!</v>
      </c>
      <c r="K15" s="783" t="e">
        <f>LOOKUP(B15,[2]!Table1[Number],[2]!Table1[Maakond])</f>
        <v>#REF!</v>
      </c>
      <c r="L15" s="781" t="e">
        <f>LOOKUP(B15,[2]!Table1[Number],[2]!Table1[Aasta keskmine ööp. liiklus])</f>
        <v>#REF!</v>
      </c>
      <c r="M15" s="781" t="e">
        <f>LOOKUP(B15,[2]!Table1[Number],[2]!Table1[Ehitusaasta])</f>
        <v>#REF!</v>
      </c>
      <c r="N15" s="802">
        <v>90000</v>
      </c>
      <c r="O15" s="784"/>
      <c r="P15" s="784"/>
      <c r="Q15" s="784"/>
      <c r="R15" s="784"/>
      <c r="S15" s="802">
        <v>90000</v>
      </c>
      <c r="T15" s="785">
        <v>2019</v>
      </c>
    </row>
    <row r="16" spans="1:20" x14ac:dyDescent="0.3">
      <c r="A16" s="778" t="e">
        <f>LOOKUP(B16,[2]!Table1[Number],[2]!Table1[Koht])</f>
        <v>#REF!</v>
      </c>
      <c r="B16" s="813">
        <v>533</v>
      </c>
      <c r="C16" s="780" t="e">
        <f>LOOKUP(B16,[2]!Table1[Number],[2]!Table1[Seisundi indeks])</f>
        <v>#REF!</v>
      </c>
      <c r="D16" s="781" t="e">
        <f>LOOKUP(B16,[2]!Table1[Number],[2]!Table1[Nimi])</f>
        <v>#REF!</v>
      </c>
      <c r="E16" s="781" t="e">
        <f>LOOKUP(B16,[2]!Table1[Number],[2]!Table1[Tee nr])</f>
        <v>#REF!</v>
      </c>
      <c r="F16" s="781" t="e">
        <f>LOOKUP(B16,[2]!Table1[Number],[2]!Table1[Tee nimetus])</f>
        <v>#REF!</v>
      </c>
      <c r="G16" s="781" t="e">
        <f>LOOKUP(B16,[2]!Table1[Number],[2]!Table1[Algus mkaugus])</f>
        <v>#REF!</v>
      </c>
      <c r="H16" s="781" t="e">
        <f>LOOKUP(B16,[2]!Table1[Number],[2]!Table1[Silla pikkus])</f>
        <v>#REF!</v>
      </c>
      <c r="I16" s="782" t="e">
        <f>LOOKUP(B16,[2]!Table1[Number],[2]!Table1[Sõidutee laius sillal])</f>
        <v>#REF!</v>
      </c>
      <c r="J16" s="782" t="e">
        <f>LOOKUP(B16,[2]!Table1[Number],[2]!Table1[Regioon])</f>
        <v>#REF!</v>
      </c>
      <c r="K16" s="783" t="e">
        <f>LOOKUP(B16,[2]!Table1[Number],[2]!Table1[Maakond])</f>
        <v>#REF!</v>
      </c>
      <c r="L16" s="781" t="e">
        <f>LOOKUP(B16,[2]!Table1[Number],[2]!Table1[Aasta keskmine ööp. liiklus])</f>
        <v>#REF!</v>
      </c>
      <c r="M16" s="781" t="e">
        <f>LOOKUP(B16,[2]!Table1[Number],[2]!Table1[Ehitusaasta])</f>
        <v>#REF!</v>
      </c>
      <c r="N16" s="815">
        <v>110000</v>
      </c>
      <c r="O16" s="815"/>
      <c r="P16" s="815"/>
      <c r="Q16" s="815"/>
      <c r="R16" s="815"/>
      <c r="S16" s="815">
        <v>110000</v>
      </c>
      <c r="T16" s="816" t="s">
        <v>609</v>
      </c>
    </row>
    <row r="17" spans="1:20" ht="14.25" customHeight="1" x14ac:dyDescent="0.3">
      <c r="A17" s="778" t="e">
        <f>LOOKUP(B17,[2]!Table1[Number],[2]!Table1[Koht])</f>
        <v>#REF!</v>
      </c>
      <c r="B17" s="805">
        <v>1045</v>
      </c>
      <c r="C17" s="780" t="e">
        <f>LOOKUP(B17,[2]!Table1[Number],[2]!Table1[Seisundi indeks])</f>
        <v>#REF!</v>
      </c>
      <c r="D17" s="781" t="e">
        <f>LOOKUP(B17,[2]!Table1[Number],[2]!Table1[Nimi])</f>
        <v>#REF!</v>
      </c>
      <c r="E17" s="781" t="e">
        <f>LOOKUP(B17,[2]!Table1[Number],[2]!Table1[Tee nr])</f>
        <v>#REF!</v>
      </c>
      <c r="F17" s="781" t="e">
        <f>LOOKUP(B17,[2]!Table1[Number],[2]!Table1[Tee nimetus])</f>
        <v>#REF!</v>
      </c>
      <c r="G17" s="781" t="e">
        <f>LOOKUP(B17,[2]!Table1[Number],[2]!Table1[Algus mkaugus])</f>
        <v>#REF!</v>
      </c>
      <c r="H17" s="781" t="e">
        <f>LOOKUP(B17,[2]!Table1[Number],[2]!Table1[Silla pikkus])</f>
        <v>#REF!</v>
      </c>
      <c r="I17" s="782" t="e">
        <f>LOOKUP(B17,[2]!Table1[Number],[2]!Table1[Sõidutee laius sillal])</f>
        <v>#REF!</v>
      </c>
      <c r="J17" s="782" t="e">
        <f>LOOKUP(B17,[2]!Table1[Number],[2]!Table1[Regioon])</f>
        <v>#REF!</v>
      </c>
      <c r="K17" s="783" t="e">
        <f>LOOKUP(B17,[2]!Table1[Number],[2]!Table1[Maakond])</f>
        <v>#REF!</v>
      </c>
      <c r="L17" s="781" t="e">
        <f>LOOKUP(B17,[2]!Table1[Number],[2]!Table1[Aasta keskmine ööp. liiklus])</f>
        <v>#REF!</v>
      </c>
      <c r="M17" s="781" t="e">
        <f>LOOKUP(B17,[2]!Table1[Number],[2]!Table1[Ehitusaasta])</f>
        <v>#REF!</v>
      </c>
      <c r="N17" s="808">
        <v>75000</v>
      </c>
      <c r="O17" s="808"/>
      <c r="P17" s="808"/>
      <c r="Q17" s="808"/>
      <c r="R17" s="817">
        <v>75000</v>
      </c>
      <c r="S17" s="808"/>
      <c r="T17" s="812" t="s">
        <v>609</v>
      </c>
    </row>
    <row r="18" spans="1:20" x14ac:dyDescent="0.3">
      <c r="A18" s="778" t="e">
        <f>LOOKUP(B18,[2]!Table1[Number],[2]!Table1[Koht])</f>
        <v>#REF!</v>
      </c>
      <c r="B18" s="779">
        <v>646</v>
      </c>
      <c r="C18" s="780" t="e">
        <f>LOOKUP(B18,[2]!Table1[Number],[2]!Table1[Seisundi indeks])</f>
        <v>#REF!</v>
      </c>
      <c r="D18" s="781" t="e">
        <f>LOOKUP(B18,[2]!Table1[Number],[2]!Table1[Nimi])</f>
        <v>#REF!</v>
      </c>
      <c r="E18" s="781" t="e">
        <f>LOOKUP(B18,[2]!Table1[Number],[2]!Table1[Tee nr])</f>
        <v>#REF!</v>
      </c>
      <c r="F18" s="781" t="e">
        <f>LOOKUP(B18,[2]!Table1[Number],[2]!Table1[Tee nimetus])</f>
        <v>#REF!</v>
      </c>
      <c r="G18" s="781" t="e">
        <f>LOOKUP(B18,[2]!Table1[Number],[2]!Table1[Algus mkaugus])</f>
        <v>#REF!</v>
      </c>
      <c r="H18" s="781" t="e">
        <f>LOOKUP(B18,[2]!Table1[Number],[2]!Table1[Silla pikkus])</f>
        <v>#REF!</v>
      </c>
      <c r="I18" s="782" t="e">
        <f>LOOKUP(B18,[2]!Table1[Number],[2]!Table1[Sõidutee laius sillal])</f>
        <v>#REF!</v>
      </c>
      <c r="J18" s="782" t="e">
        <f>LOOKUP(B18,[2]!Table1[Number],[2]!Table1[Regioon])</f>
        <v>#REF!</v>
      </c>
      <c r="K18" s="783" t="e">
        <f>LOOKUP(B18,[2]!Table1[Number],[2]!Table1[Maakond])</f>
        <v>#REF!</v>
      </c>
      <c r="L18" s="781" t="e">
        <f>LOOKUP(B18,[2]!Table1[Number],[2]!Table1[Aasta keskmine ööp. liiklus])</f>
        <v>#REF!</v>
      </c>
      <c r="M18" s="781" t="e">
        <f>LOOKUP(B18,[2]!Table1[Number],[2]!Table1[Ehitusaasta])</f>
        <v>#REF!</v>
      </c>
      <c r="N18" s="802">
        <v>255000</v>
      </c>
      <c r="O18" s="784"/>
      <c r="P18" s="784"/>
      <c r="Q18" s="784"/>
      <c r="R18" s="802">
        <v>255000</v>
      </c>
      <c r="S18" s="784"/>
      <c r="T18" s="785">
        <v>2020</v>
      </c>
    </row>
    <row r="19" spans="1:20" x14ac:dyDescent="0.3">
      <c r="A19" s="778" t="e">
        <f>LOOKUP(B19,[2]!Table1[Number],[2]!Table1[Koht])</f>
        <v>#REF!</v>
      </c>
      <c r="B19" s="805">
        <v>321</v>
      </c>
      <c r="C19" s="780" t="e">
        <f>LOOKUP(B19,[2]!Table1[Number],[2]!Table1[Seisundi indeks])</f>
        <v>#REF!</v>
      </c>
      <c r="D19" s="781" t="e">
        <f>LOOKUP(B19,[2]!Table1[Number],[2]!Table1[Nimi])</f>
        <v>#REF!</v>
      </c>
      <c r="E19" s="781" t="e">
        <f>LOOKUP(B19,[2]!Table1[Number],[2]!Table1[Tee nr])</f>
        <v>#REF!</v>
      </c>
      <c r="F19" s="781" t="e">
        <f>LOOKUP(B19,[2]!Table1[Number],[2]!Table1[Tee nimetus])</f>
        <v>#REF!</v>
      </c>
      <c r="G19" s="781" t="e">
        <f>LOOKUP(B19,[2]!Table1[Number],[2]!Table1[Algus mkaugus])</f>
        <v>#REF!</v>
      </c>
      <c r="H19" s="781" t="e">
        <f>LOOKUP(B19,[2]!Table1[Number],[2]!Table1[Silla pikkus])</f>
        <v>#REF!</v>
      </c>
      <c r="I19" s="782" t="e">
        <f>LOOKUP(B19,[2]!Table1[Number],[2]!Table1[Sõidutee laius sillal])</f>
        <v>#REF!</v>
      </c>
      <c r="J19" s="782" t="e">
        <f>LOOKUP(B19,[2]!Table1[Number],[2]!Table1[Regioon])</f>
        <v>#REF!</v>
      </c>
      <c r="K19" s="783" t="e">
        <f>LOOKUP(B19,[2]!Table1[Number],[2]!Table1[Maakond])</f>
        <v>#REF!</v>
      </c>
      <c r="L19" s="781" t="e">
        <f>LOOKUP(B19,[2]!Table1[Number],[2]!Table1[Aasta keskmine ööp. liiklus])</f>
        <v>#REF!</v>
      </c>
      <c r="M19" s="781" t="e">
        <f>LOOKUP(B19,[2]!Table1[Number],[2]!Table1[Ehitusaasta])</f>
        <v>#REF!</v>
      </c>
      <c r="N19" s="818">
        <v>180000</v>
      </c>
      <c r="O19" s="818"/>
      <c r="P19" s="819">
        <v>180000</v>
      </c>
      <c r="Q19" s="820"/>
      <c r="R19" s="820"/>
      <c r="S19" s="820"/>
      <c r="T19" s="785">
        <v>2018</v>
      </c>
    </row>
    <row r="20" spans="1:20" x14ac:dyDescent="0.3">
      <c r="A20" s="778" t="e">
        <f>LOOKUP(B20,[2]!Table1[Number],[2]!Table1[Koht])</f>
        <v>#REF!</v>
      </c>
      <c r="B20" s="821">
        <v>682</v>
      </c>
      <c r="C20" s="780" t="e">
        <f>LOOKUP(B20,[2]!Table1[Number],[2]!Table1[Seisundi indeks])</f>
        <v>#REF!</v>
      </c>
      <c r="D20" s="781" t="e">
        <f>LOOKUP(B20,[2]!Table1[Number],[2]!Table1[Nimi])</f>
        <v>#REF!</v>
      </c>
      <c r="E20" s="781" t="e">
        <f>LOOKUP(B20,[2]!Table1[Number],[2]!Table1[Tee nr])</f>
        <v>#REF!</v>
      </c>
      <c r="F20" s="781" t="e">
        <f>LOOKUP(B20,[2]!Table1[Number],[2]!Table1[Tee nimetus])</f>
        <v>#REF!</v>
      </c>
      <c r="G20" s="781" t="e">
        <f>LOOKUP(B20,[2]!Table1[Number],[2]!Table1[Algus mkaugus])</f>
        <v>#REF!</v>
      </c>
      <c r="H20" s="781" t="e">
        <f>LOOKUP(B20,[2]!Table1[Number],[2]!Table1[Silla pikkus])</f>
        <v>#REF!</v>
      </c>
      <c r="I20" s="782" t="e">
        <f>LOOKUP(B20,[2]!Table1[Number],[2]!Table1[Sõidutee laius sillal])</f>
        <v>#REF!</v>
      </c>
      <c r="J20" s="782" t="e">
        <f>LOOKUP(B20,[2]!Table1[Number],[2]!Table1[Regioon])</f>
        <v>#REF!</v>
      </c>
      <c r="K20" s="783" t="e">
        <f>LOOKUP(B20,[2]!Table1[Number],[2]!Table1[Maakond])</f>
        <v>#REF!</v>
      </c>
      <c r="L20" s="781" t="e">
        <f>LOOKUP(B20,[2]!Table1[Number],[2]!Table1[Aasta keskmine ööp. liiklus])</f>
        <v>#REF!</v>
      </c>
      <c r="M20" s="781" t="e">
        <f>LOOKUP(B20,[2]!Table1[Number],[2]!Table1[Ehitusaasta])</f>
        <v>#REF!</v>
      </c>
      <c r="N20" s="822">
        <v>150000</v>
      </c>
      <c r="O20" s="822"/>
      <c r="P20" s="822"/>
      <c r="Q20" s="822"/>
      <c r="R20" s="822"/>
      <c r="S20" s="822">
        <v>150000</v>
      </c>
      <c r="T20" s="823" t="s">
        <v>610</v>
      </c>
    </row>
    <row r="21" spans="1:20" s="825" customFormat="1" x14ac:dyDescent="0.3">
      <c r="A21" s="778" t="e">
        <f>LOOKUP(B21,[2]!Table1[Number],[2]!Table1[Koht])</f>
        <v>#REF!</v>
      </c>
      <c r="B21" s="805">
        <v>171</v>
      </c>
      <c r="C21" s="780" t="e">
        <f>LOOKUP(B21,[2]!Table1[Number],[2]!Table1[Seisundi indeks])</f>
        <v>#REF!</v>
      </c>
      <c r="D21" s="781" t="e">
        <f>LOOKUP(B21,[2]!Table1[Number],[2]!Table1[Nimi])</f>
        <v>#REF!</v>
      </c>
      <c r="E21" s="781" t="e">
        <f>LOOKUP(B21,[2]!Table1[Number],[2]!Table1[Tee nr])</f>
        <v>#REF!</v>
      </c>
      <c r="F21" s="781" t="e">
        <f>LOOKUP(B21,[2]!Table1[Number],[2]!Table1[Tee nimetus])</f>
        <v>#REF!</v>
      </c>
      <c r="G21" s="781" t="e">
        <f>LOOKUP(B21,[2]!Table1[Number],[2]!Table1[Algus mkaugus])</f>
        <v>#REF!</v>
      </c>
      <c r="H21" s="781" t="e">
        <f>LOOKUP(B21,[2]!Table1[Number],[2]!Table1[Silla pikkus])</f>
        <v>#REF!</v>
      </c>
      <c r="I21" s="782" t="e">
        <f>LOOKUP(B21,[2]!Table1[Number],[2]!Table1[Sõidutee laius sillal])</f>
        <v>#REF!</v>
      </c>
      <c r="J21" s="782" t="e">
        <f>LOOKUP(B21,[2]!Table1[Number],[2]!Table1[Regioon])</f>
        <v>#REF!</v>
      </c>
      <c r="K21" s="783" t="e">
        <f>LOOKUP(B21,[2]!Table1[Number],[2]!Table1[Maakond])</f>
        <v>#REF!</v>
      </c>
      <c r="L21" s="781" t="e">
        <f>LOOKUP(B21,[2]!Table1[Number],[2]!Table1[Aasta keskmine ööp. liiklus])</f>
        <v>#REF!</v>
      </c>
      <c r="M21" s="781" t="e">
        <f>LOOKUP(B21,[2]!Table1[Number],[2]!Table1[Ehitusaasta])</f>
        <v>#REF!</v>
      </c>
      <c r="N21" s="824">
        <v>228000</v>
      </c>
      <c r="O21" s="824"/>
      <c r="P21" s="824"/>
      <c r="Q21" s="811">
        <v>180000</v>
      </c>
      <c r="R21" s="811">
        <v>48000</v>
      </c>
      <c r="S21" s="810"/>
      <c r="T21" s="785">
        <v>2018</v>
      </c>
    </row>
    <row r="22" spans="1:20" x14ac:dyDescent="0.3">
      <c r="A22" s="778" t="e">
        <f>LOOKUP(B22,[2]!Table1[Number],[2]!Table1[Koht])</f>
        <v>#REF!</v>
      </c>
      <c r="B22" s="779">
        <v>610</v>
      </c>
      <c r="C22" s="780" t="e">
        <f>LOOKUP(B22,[2]!Table1[Number],[2]!Table1[Seisundi indeks])</f>
        <v>#REF!</v>
      </c>
      <c r="D22" s="781" t="e">
        <f>LOOKUP(B22,[2]!Table1[Number],[2]!Table1[Nimi])</f>
        <v>#REF!</v>
      </c>
      <c r="E22" s="781" t="e">
        <f>LOOKUP(B22,[2]!Table1[Number],[2]!Table1[Tee nr])</f>
        <v>#REF!</v>
      </c>
      <c r="F22" s="781" t="e">
        <f>LOOKUP(B22,[2]!Table1[Number],[2]!Table1[Tee nimetus])</f>
        <v>#REF!</v>
      </c>
      <c r="G22" s="781" t="e">
        <f>LOOKUP(B22,[2]!Table1[Number],[2]!Table1[Algus mkaugus])</f>
        <v>#REF!</v>
      </c>
      <c r="H22" s="781" t="e">
        <f>LOOKUP(B22,[2]!Table1[Number],[2]!Table1[Silla pikkus])</f>
        <v>#REF!</v>
      </c>
      <c r="I22" s="782" t="e">
        <f>LOOKUP(B22,[2]!Table1[Number],[2]!Table1[Sõidutee laius sillal])</f>
        <v>#REF!</v>
      </c>
      <c r="J22" s="782" t="e">
        <f>LOOKUP(B22,[2]!Table1[Number],[2]!Table1[Regioon])</f>
        <v>#REF!</v>
      </c>
      <c r="K22" s="783" t="e">
        <f>LOOKUP(B22,[2]!Table1[Number],[2]!Table1[Maakond])</f>
        <v>#REF!</v>
      </c>
      <c r="L22" s="781" t="e">
        <f>LOOKUP(B22,[2]!Table1[Number],[2]!Table1[Aasta keskmine ööp. liiklus])</f>
        <v>#REF!</v>
      </c>
      <c r="M22" s="781" t="e">
        <f>LOOKUP(B22,[2]!Table1[Number],[2]!Table1[Ehitusaasta])</f>
        <v>#REF!</v>
      </c>
      <c r="N22" s="802">
        <v>130000</v>
      </c>
      <c r="O22" s="784"/>
      <c r="P22" s="784"/>
      <c r="Q22" s="803"/>
      <c r="R22" s="826">
        <v>130000</v>
      </c>
      <c r="S22" s="784"/>
      <c r="T22" s="785">
        <v>2019</v>
      </c>
    </row>
    <row r="23" spans="1:20" x14ac:dyDescent="0.3">
      <c r="A23" s="778" t="e">
        <f>LOOKUP(B23,[2]!Table1[Number],[2]!Table1[Koht])</f>
        <v>#REF!</v>
      </c>
      <c r="B23" s="779">
        <v>176</v>
      </c>
      <c r="C23" s="780" t="e">
        <f>LOOKUP(B23,[2]!Table1[Number],[2]!Table1[Seisundi indeks])</f>
        <v>#REF!</v>
      </c>
      <c r="D23" s="781" t="e">
        <f>LOOKUP(B23,[2]!Table1[Number],[2]!Table1[Nimi])</f>
        <v>#REF!</v>
      </c>
      <c r="E23" s="781" t="e">
        <f>LOOKUP(B23,[2]!Table1[Number],[2]!Table1[Tee nr])</f>
        <v>#REF!</v>
      </c>
      <c r="F23" s="781" t="e">
        <f>LOOKUP(B23,[2]!Table1[Number],[2]!Table1[Tee nimetus])</f>
        <v>#REF!</v>
      </c>
      <c r="G23" s="781" t="e">
        <f>LOOKUP(B23,[2]!Table1[Number],[2]!Table1[Algus mkaugus])</f>
        <v>#REF!</v>
      </c>
      <c r="H23" s="781" t="e">
        <f>LOOKUP(B23,[2]!Table1[Number],[2]!Table1[Silla pikkus])</f>
        <v>#REF!</v>
      </c>
      <c r="I23" s="782" t="e">
        <f>LOOKUP(B23,[2]!Table1[Number],[2]!Table1[Sõidutee laius sillal])</f>
        <v>#REF!</v>
      </c>
      <c r="J23" s="782" t="e">
        <f>LOOKUP(B23,[2]!Table1[Number],[2]!Table1[Regioon])</f>
        <v>#REF!</v>
      </c>
      <c r="K23" s="783" t="e">
        <f>LOOKUP(B23,[2]!Table1[Number],[2]!Table1[Maakond])</f>
        <v>#REF!</v>
      </c>
      <c r="L23" s="781" t="e">
        <f>LOOKUP(B23,[2]!Table1[Number],[2]!Table1[Aasta keskmine ööp. liiklus])</f>
        <v>#REF!</v>
      </c>
      <c r="M23" s="781" t="e">
        <f>LOOKUP(B23,[2]!Table1[Number],[2]!Table1[Ehitusaasta])</f>
        <v>#REF!</v>
      </c>
      <c r="N23" s="827">
        <v>625000</v>
      </c>
      <c r="O23" s="827"/>
      <c r="P23" s="827"/>
      <c r="Q23" s="827"/>
      <c r="R23" s="827">
        <v>325000</v>
      </c>
      <c r="S23" s="827">
        <v>300000</v>
      </c>
      <c r="T23" s="804" t="s">
        <v>610</v>
      </c>
    </row>
    <row r="24" spans="1:20" x14ac:dyDescent="0.3">
      <c r="A24" s="778" t="e">
        <f>LOOKUP(B24,[2]!Table1[Number],[2]!Table1[Koht])</f>
        <v>#REF!</v>
      </c>
      <c r="B24" s="805">
        <v>690</v>
      </c>
      <c r="C24" s="780" t="e">
        <f>LOOKUP(B24,[2]!Table1[Number],[2]!Table1[Seisundi indeks])</f>
        <v>#REF!</v>
      </c>
      <c r="D24" s="781" t="e">
        <f>LOOKUP(B24,[2]!Table1[Number],[2]!Table1[Nimi])</f>
        <v>#REF!</v>
      </c>
      <c r="E24" s="781" t="e">
        <f>LOOKUP(B24,[2]!Table1[Number],[2]!Table1[Tee nr])</f>
        <v>#REF!</v>
      </c>
      <c r="F24" s="781" t="e">
        <f>LOOKUP(B24,[2]!Table1[Number],[2]!Table1[Tee nimetus])</f>
        <v>#REF!</v>
      </c>
      <c r="G24" s="781" t="e">
        <f>LOOKUP(B24,[2]!Table1[Number],[2]!Table1[Algus mkaugus])</f>
        <v>#REF!</v>
      </c>
      <c r="H24" s="781" t="e">
        <f>LOOKUP(B24,[2]!Table1[Number],[2]!Table1[Silla pikkus])</f>
        <v>#REF!</v>
      </c>
      <c r="I24" s="782" t="e">
        <f>LOOKUP(B24,[2]!Table1[Number],[2]!Table1[Sõidutee laius sillal])</f>
        <v>#REF!</v>
      </c>
      <c r="J24" s="782" t="e">
        <f>LOOKUP(B24,[2]!Table1[Number],[2]!Table1[Regioon])</f>
        <v>#REF!</v>
      </c>
      <c r="K24" s="783" t="e">
        <f>LOOKUP(B24,[2]!Table1[Number],[2]!Table1[Maakond])</f>
        <v>#REF!</v>
      </c>
      <c r="L24" s="781" t="e">
        <f>LOOKUP(B24,[2]!Table1[Number],[2]!Table1[Aasta keskmine ööp. liiklus])</f>
        <v>#REF!</v>
      </c>
      <c r="M24" s="781" t="e">
        <f>LOOKUP(B24,[2]!Table1[Number],[2]!Table1[Ehitusaasta])</f>
        <v>#REF!</v>
      </c>
      <c r="N24" s="807">
        <v>200000</v>
      </c>
      <c r="O24" s="807"/>
      <c r="P24" s="809">
        <v>200000</v>
      </c>
      <c r="Q24" s="817"/>
      <c r="R24" s="808"/>
      <c r="S24" s="808"/>
      <c r="T24" s="785">
        <v>2019</v>
      </c>
    </row>
    <row r="25" spans="1:20" x14ac:dyDescent="0.3">
      <c r="A25" s="778" t="e">
        <f>LOOKUP(B25,[2]!Table1[Number],[2]!Table1[Koht])</f>
        <v>#REF!</v>
      </c>
      <c r="B25" s="813">
        <v>557</v>
      </c>
      <c r="C25" s="780" t="e">
        <f>LOOKUP(B25,[2]!Table1[Number],[2]!Table1[Seisundi indeks])</f>
        <v>#REF!</v>
      </c>
      <c r="D25" s="781" t="e">
        <f>LOOKUP(B25,[2]!Table1[Number],[2]!Table1[Nimi])</f>
        <v>#REF!</v>
      </c>
      <c r="E25" s="781" t="e">
        <f>LOOKUP(B25,[2]!Table1[Number],[2]!Table1[Tee nr])</f>
        <v>#REF!</v>
      </c>
      <c r="F25" s="781" t="e">
        <f>LOOKUP(B25,[2]!Table1[Number],[2]!Table1[Tee nimetus])</f>
        <v>#REF!</v>
      </c>
      <c r="G25" s="781" t="e">
        <f>LOOKUP(B25,[2]!Table1[Number],[2]!Table1[Algus mkaugus])</f>
        <v>#REF!</v>
      </c>
      <c r="H25" s="781" t="e">
        <f>LOOKUP(B25,[2]!Table1[Number],[2]!Table1[Silla pikkus])</f>
        <v>#REF!</v>
      </c>
      <c r="I25" s="782" t="e">
        <f>LOOKUP(B25,[2]!Table1[Number],[2]!Table1[Sõidutee laius sillal])</f>
        <v>#REF!</v>
      </c>
      <c r="J25" s="782" t="e">
        <f>LOOKUP(B25,[2]!Table1[Number],[2]!Table1[Regioon])</f>
        <v>#REF!</v>
      </c>
      <c r="K25" s="783" t="e">
        <f>LOOKUP(B25,[2]!Table1[Number],[2]!Table1[Maakond])</f>
        <v>#REF!</v>
      </c>
      <c r="L25" s="781" t="e">
        <f>LOOKUP(B25,[2]!Table1[Number],[2]!Table1[Aasta keskmine ööp. liiklus])</f>
        <v>#REF!</v>
      </c>
      <c r="M25" s="781" t="e">
        <f>LOOKUP(B25,[2]!Table1[Number],[2]!Table1[Ehitusaasta])</f>
        <v>#REF!</v>
      </c>
      <c r="N25" s="814">
        <v>200000</v>
      </c>
      <c r="O25" s="814"/>
      <c r="P25" s="814">
        <v>200000</v>
      </c>
      <c r="Q25" s="815"/>
      <c r="R25" s="815"/>
      <c r="S25" s="814"/>
      <c r="T25" s="785">
        <v>2018</v>
      </c>
    </row>
    <row r="26" spans="1:20" x14ac:dyDescent="0.3">
      <c r="A26" s="778" t="e">
        <f>LOOKUP(B26,[2]!Table1[Number],[2]!Table1[Koht])</f>
        <v>#REF!</v>
      </c>
      <c r="B26" s="813">
        <v>823</v>
      </c>
      <c r="C26" s="780" t="e">
        <f>LOOKUP(B26,[2]!Table1[Number],[2]!Table1[Seisundi indeks])</f>
        <v>#REF!</v>
      </c>
      <c r="D26" s="781" t="e">
        <f>LOOKUP(B26,[2]!Table1[Number],[2]!Table1[Nimi])</f>
        <v>#REF!</v>
      </c>
      <c r="E26" s="781" t="e">
        <f>LOOKUP(B26,[2]!Table1[Number],[2]!Table1[Tee nr])</f>
        <v>#REF!</v>
      </c>
      <c r="F26" s="781" t="e">
        <f>LOOKUP(B26,[2]!Table1[Number],[2]!Table1[Tee nimetus])</f>
        <v>#REF!</v>
      </c>
      <c r="G26" s="781" t="e">
        <f>LOOKUP(B26,[2]!Table1[Number],[2]!Table1[Algus mkaugus])</f>
        <v>#REF!</v>
      </c>
      <c r="H26" s="781" t="e">
        <f>LOOKUP(B26,[2]!Table1[Number],[2]!Table1[Silla pikkus])</f>
        <v>#REF!</v>
      </c>
      <c r="I26" s="782" t="e">
        <f>LOOKUP(B26,[2]!Table1[Number],[2]!Table1[Sõidutee laius sillal])</f>
        <v>#REF!</v>
      </c>
      <c r="J26" s="782" t="e">
        <f>LOOKUP(B26,[2]!Table1[Number],[2]!Table1[Regioon])</f>
        <v>#REF!</v>
      </c>
      <c r="K26" s="783" t="e">
        <f>LOOKUP(B26,[2]!Table1[Number],[2]!Table1[Maakond])</f>
        <v>#REF!</v>
      </c>
      <c r="L26" s="781" t="e">
        <f>LOOKUP(B26,[2]!Table1[Number],[2]!Table1[Aasta keskmine ööp. liiklus])</f>
        <v>#REF!</v>
      </c>
      <c r="M26" s="781" t="e">
        <f>LOOKUP(B26,[2]!Table1[Number],[2]!Table1[Ehitusaasta])</f>
        <v>#REF!</v>
      </c>
      <c r="N26" s="818">
        <v>300000</v>
      </c>
      <c r="O26" s="820"/>
      <c r="P26" s="820"/>
      <c r="Q26" s="803">
        <v>300000</v>
      </c>
      <c r="R26" s="820"/>
      <c r="S26" s="820"/>
      <c r="T26" s="785">
        <v>2018</v>
      </c>
    </row>
    <row r="27" spans="1:20" x14ac:dyDescent="0.3">
      <c r="A27" s="778" t="e">
        <f>LOOKUP(B27,[2]!Table1[Number],[2]!Table1[Koht])</f>
        <v>#REF!</v>
      </c>
      <c r="B27" s="813">
        <v>634</v>
      </c>
      <c r="C27" s="780" t="e">
        <f>LOOKUP(B27,[2]!Table1[Number],[2]!Table1[Seisundi indeks])</f>
        <v>#REF!</v>
      </c>
      <c r="D27" s="781" t="e">
        <f>LOOKUP(B27,[2]!Table1[Number],[2]!Table1[Nimi])</f>
        <v>#REF!</v>
      </c>
      <c r="E27" s="781" t="e">
        <f>LOOKUP(B27,[2]!Table1[Number],[2]!Table1[Tee nr])</f>
        <v>#REF!</v>
      </c>
      <c r="F27" s="781" t="e">
        <f>LOOKUP(B27,[2]!Table1[Number],[2]!Table1[Tee nimetus])</f>
        <v>#REF!</v>
      </c>
      <c r="G27" s="781" t="e">
        <f>LOOKUP(B27,[2]!Table1[Number],[2]!Table1[Algus mkaugus])</f>
        <v>#REF!</v>
      </c>
      <c r="H27" s="781" t="e">
        <f>LOOKUP(B27,[2]!Table1[Number],[2]!Table1[Silla pikkus])</f>
        <v>#REF!</v>
      </c>
      <c r="I27" s="782" t="e">
        <f>LOOKUP(B27,[2]!Table1[Number],[2]!Table1[Sõidutee laius sillal])</f>
        <v>#REF!</v>
      </c>
      <c r="J27" s="782" t="e">
        <f>LOOKUP(B27,[2]!Table1[Number],[2]!Table1[Regioon])</f>
        <v>#REF!</v>
      </c>
      <c r="K27" s="783" t="e">
        <f>LOOKUP(B27,[2]!Table1[Number],[2]!Table1[Maakond])</f>
        <v>#REF!</v>
      </c>
      <c r="L27" s="781" t="e">
        <f>LOOKUP(B27,[2]!Table1[Number],[2]!Table1[Aasta keskmine ööp. liiklus])</f>
        <v>#REF!</v>
      </c>
      <c r="M27" s="781" t="e">
        <f>LOOKUP(B27,[2]!Table1[Number],[2]!Table1[Ehitusaasta])</f>
        <v>#REF!</v>
      </c>
      <c r="N27" s="814">
        <v>150000</v>
      </c>
      <c r="O27" s="815"/>
      <c r="P27" s="815"/>
      <c r="Q27" s="815"/>
      <c r="R27" s="815"/>
      <c r="S27" s="814">
        <v>150000</v>
      </c>
      <c r="T27" s="785">
        <v>2020</v>
      </c>
    </row>
    <row r="28" spans="1:20" s="828" customFormat="1" x14ac:dyDescent="0.3">
      <c r="A28" s="778" t="e">
        <f>LOOKUP(B28,[2]!Table1[Number],[2]!Table1[Koht])</f>
        <v>#REF!</v>
      </c>
      <c r="B28" s="805">
        <v>670</v>
      </c>
      <c r="C28" s="780" t="e">
        <f>LOOKUP(B28,[2]!Table1[Number],[2]!Table1[Seisundi indeks])</f>
        <v>#REF!</v>
      </c>
      <c r="D28" s="781" t="e">
        <f>LOOKUP(B28,[2]!Table1[Number],[2]!Table1[Nimi])</f>
        <v>#REF!</v>
      </c>
      <c r="E28" s="781" t="e">
        <f>LOOKUP(B28,[2]!Table1[Number],[2]!Table1[Tee nr])</f>
        <v>#REF!</v>
      </c>
      <c r="F28" s="781" t="e">
        <f>LOOKUP(B28,[2]!Table1[Number],[2]!Table1[Tee nimetus])</f>
        <v>#REF!</v>
      </c>
      <c r="G28" s="781" t="e">
        <f>LOOKUP(B28,[2]!Table1[Number],[2]!Table1[Algus mkaugus])</f>
        <v>#REF!</v>
      </c>
      <c r="H28" s="781" t="e">
        <f>LOOKUP(B28,[2]!Table1[Number],[2]!Table1[Silla pikkus])</f>
        <v>#REF!</v>
      </c>
      <c r="I28" s="782" t="e">
        <f>LOOKUP(B28,[2]!Table1[Number],[2]!Table1[Sõidutee laius sillal])</f>
        <v>#REF!</v>
      </c>
      <c r="J28" s="782" t="e">
        <f>LOOKUP(B28,[2]!Table1[Number],[2]!Table1[Regioon])</f>
        <v>#REF!</v>
      </c>
      <c r="K28" s="783" t="e">
        <f>LOOKUP(B28,[2]!Table1[Number],[2]!Table1[Maakond])</f>
        <v>#REF!</v>
      </c>
      <c r="L28" s="781" t="e">
        <f>LOOKUP(B28,[2]!Table1[Number],[2]!Table1[Aasta keskmine ööp. liiklus])</f>
        <v>#REF!</v>
      </c>
      <c r="M28" s="781" t="e">
        <f>LOOKUP(B28,[2]!Table1[Number],[2]!Table1[Ehitusaasta])</f>
        <v>#REF!</v>
      </c>
      <c r="N28" s="802">
        <v>90000</v>
      </c>
      <c r="O28" s="784"/>
      <c r="P28" s="784"/>
      <c r="Q28" s="784"/>
      <c r="R28" s="802">
        <v>90000</v>
      </c>
      <c r="S28" s="784"/>
      <c r="T28" s="785">
        <v>2020</v>
      </c>
    </row>
    <row r="29" spans="1:20" x14ac:dyDescent="0.3">
      <c r="A29" s="778" t="e">
        <f>LOOKUP(B29,[2]!Table1[Number],[2]!Table1[Koht])</f>
        <v>#REF!</v>
      </c>
      <c r="B29" s="813">
        <v>1000</v>
      </c>
      <c r="C29" s="780" t="e">
        <f>LOOKUP(B29,[2]!Table1[Number],[2]!Table1[Seisundi indeks])</f>
        <v>#REF!</v>
      </c>
      <c r="D29" s="781" t="e">
        <f>LOOKUP(B29,[2]!Table1[Number],[2]!Table1[Nimi])</f>
        <v>#REF!</v>
      </c>
      <c r="E29" s="781" t="e">
        <f>LOOKUP(B29,[2]!Table1[Number],[2]!Table1[Tee nr])</f>
        <v>#REF!</v>
      </c>
      <c r="F29" s="781" t="e">
        <f>LOOKUP(B29,[2]!Table1[Number],[2]!Table1[Tee nimetus])</f>
        <v>#REF!</v>
      </c>
      <c r="G29" s="781" t="e">
        <f>LOOKUP(B29,[2]!Table1[Number],[2]!Table1[Algus mkaugus])</f>
        <v>#REF!</v>
      </c>
      <c r="H29" s="781" t="e">
        <f>LOOKUP(B29,[2]!Table1[Number],[2]!Table1[Silla pikkus])</f>
        <v>#REF!</v>
      </c>
      <c r="I29" s="782" t="e">
        <f>LOOKUP(B29,[2]!Table1[Number],[2]!Table1[Sõidutee laius sillal])</f>
        <v>#REF!</v>
      </c>
      <c r="J29" s="782" t="e">
        <f>LOOKUP(B29,[2]!Table1[Number],[2]!Table1[Regioon])</f>
        <v>#REF!</v>
      </c>
      <c r="K29" s="783" t="e">
        <f>LOOKUP(B29,[2]!Table1[Number],[2]!Table1[Maakond])</f>
        <v>#REF!</v>
      </c>
      <c r="L29" s="781" t="e">
        <f>LOOKUP(B29,[2]!Table1[Number],[2]!Table1[Aasta keskmine ööp. liiklus])</f>
        <v>#REF!</v>
      </c>
      <c r="M29" s="781" t="e">
        <f>LOOKUP(B29,[2]!Table1[Number],[2]!Table1[Ehitusaasta])</f>
        <v>#REF!</v>
      </c>
      <c r="N29" s="815">
        <v>130000</v>
      </c>
      <c r="O29" s="815"/>
      <c r="P29" s="815">
        <v>130000</v>
      </c>
      <c r="Q29" s="815"/>
      <c r="R29" s="815"/>
      <c r="S29" s="815"/>
      <c r="T29" s="804">
        <v>2019</v>
      </c>
    </row>
    <row r="30" spans="1:20" x14ac:dyDescent="0.3">
      <c r="A30" s="778" t="e">
        <f>LOOKUP(B30,[2]!Table1[Number],[2]!Table1[Koht])</f>
        <v>#REF!</v>
      </c>
      <c r="B30" s="805">
        <v>1046</v>
      </c>
      <c r="C30" s="780" t="e">
        <f>LOOKUP(B30,[2]!Table1[Number],[2]!Table1[Seisundi indeks])</f>
        <v>#REF!</v>
      </c>
      <c r="D30" s="781" t="e">
        <f>LOOKUP(B30,[2]!Table1[Number],[2]!Table1[Nimi])</f>
        <v>#REF!</v>
      </c>
      <c r="E30" s="781" t="e">
        <f>LOOKUP(B30,[2]!Table1[Number],[2]!Table1[Tee nr])</f>
        <v>#REF!</v>
      </c>
      <c r="F30" s="781" t="e">
        <f>LOOKUP(B30,[2]!Table1[Number],[2]!Table1[Tee nimetus])</f>
        <v>#REF!</v>
      </c>
      <c r="G30" s="781" t="e">
        <f>LOOKUP(B30,[2]!Table1[Number],[2]!Table1[Algus mkaugus])</f>
        <v>#REF!</v>
      </c>
      <c r="H30" s="781" t="e">
        <f>LOOKUP(B30,[2]!Table1[Number],[2]!Table1[Silla pikkus])</f>
        <v>#REF!</v>
      </c>
      <c r="I30" s="782" t="e">
        <f>LOOKUP(B30,[2]!Table1[Number],[2]!Table1[Sõidutee laius sillal])</f>
        <v>#REF!</v>
      </c>
      <c r="J30" s="782" t="e">
        <f>LOOKUP(B30,[2]!Table1[Number],[2]!Table1[Regioon])</f>
        <v>#REF!</v>
      </c>
      <c r="K30" s="783" t="e">
        <f>LOOKUP(B30,[2]!Table1[Number],[2]!Table1[Maakond])</f>
        <v>#REF!</v>
      </c>
      <c r="L30" s="781" t="e">
        <f>LOOKUP(B30,[2]!Table1[Number],[2]!Table1[Aasta keskmine ööp. liiklus])</f>
        <v>#REF!</v>
      </c>
      <c r="M30" s="781" t="e">
        <f>LOOKUP(B30,[2]!Table1[Number],[2]!Table1[Ehitusaasta])</f>
        <v>#REF!</v>
      </c>
      <c r="N30" s="808">
        <v>75000</v>
      </c>
      <c r="O30" s="808"/>
      <c r="P30" s="808"/>
      <c r="Q30" s="808"/>
      <c r="R30" s="817">
        <v>75000</v>
      </c>
      <c r="S30" s="808"/>
      <c r="T30" s="812" t="s">
        <v>609</v>
      </c>
    </row>
    <row r="31" spans="1:20" x14ac:dyDescent="0.3">
      <c r="A31" s="778" t="e">
        <f>LOOKUP(B31,[2]!Table1[Number],[2]!Table1[Koht])</f>
        <v>#REF!</v>
      </c>
      <c r="B31" s="813">
        <v>763</v>
      </c>
      <c r="C31" s="780" t="e">
        <f>LOOKUP(B31,[2]!Table1[Number],[2]!Table1[Seisundi indeks])</f>
        <v>#REF!</v>
      </c>
      <c r="D31" s="781" t="e">
        <f>LOOKUP(B31,[2]!Table1[Number],[2]!Table1[Nimi])</f>
        <v>#REF!</v>
      </c>
      <c r="E31" s="781" t="e">
        <f>LOOKUP(B31,[2]!Table1[Number],[2]!Table1[Tee nr])</f>
        <v>#REF!</v>
      </c>
      <c r="F31" s="781" t="e">
        <f>LOOKUP(B31,[2]!Table1[Number],[2]!Table1[Tee nimetus])</f>
        <v>#REF!</v>
      </c>
      <c r="G31" s="781" t="e">
        <f>LOOKUP(B31,[2]!Table1[Number],[2]!Table1[Algus mkaugus])</f>
        <v>#REF!</v>
      </c>
      <c r="H31" s="781" t="e">
        <f>LOOKUP(B31,[2]!Table1[Number],[2]!Table1[Silla pikkus])</f>
        <v>#REF!</v>
      </c>
      <c r="I31" s="782" t="e">
        <f>LOOKUP(B31,[2]!Table1[Number],[2]!Table1[Sõidutee laius sillal])</f>
        <v>#REF!</v>
      </c>
      <c r="J31" s="782" t="e">
        <f>LOOKUP(B31,[2]!Table1[Number],[2]!Table1[Regioon])</f>
        <v>#REF!</v>
      </c>
      <c r="K31" s="783" t="e">
        <f>LOOKUP(B31,[2]!Table1[Number],[2]!Table1[Maakond])</f>
        <v>#REF!</v>
      </c>
      <c r="L31" s="781" t="e">
        <f>LOOKUP(B31,[2]!Table1[Number],[2]!Table1[Aasta keskmine ööp. liiklus])</f>
        <v>#REF!</v>
      </c>
      <c r="M31" s="781" t="e">
        <f>LOOKUP(B31,[2]!Table1[Number],[2]!Table1[Ehitusaasta])</f>
        <v>#REF!</v>
      </c>
      <c r="N31" s="814">
        <v>120000</v>
      </c>
      <c r="O31" s="815"/>
      <c r="P31" s="815"/>
      <c r="Q31" s="815"/>
      <c r="R31" s="815"/>
      <c r="S31" s="814">
        <v>120000</v>
      </c>
      <c r="T31" s="785">
        <v>2019</v>
      </c>
    </row>
    <row r="32" spans="1:20" x14ac:dyDescent="0.3">
      <c r="A32" s="778" t="e">
        <f>LOOKUP(B32,[2]!Table1[Number],[2]!Table1[Koht])</f>
        <v>#REF!</v>
      </c>
      <c r="B32" s="813">
        <v>173</v>
      </c>
      <c r="C32" s="780" t="e">
        <f>LOOKUP(B32,[2]!Table1[Number],[2]!Table1[Seisundi indeks])</f>
        <v>#REF!</v>
      </c>
      <c r="D32" s="781" t="e">
        <f>LOOKUP(B32,[2]!Table1[Number],[2]!Table1[Nimi])</f>
        <v>#REF!</v>
      </c>
      <c r="E32" s="781" t="e">
        <f>LOOKUP(B32,[2]!Table1[Number],[2]!Table1[Tee nr])</f>
        <v>#REF!</v>
      </c>
      <c r="F32" s="781" t="e">
        <f>LOOKUP(B32,[2]!Table1[Number],[2]!Table1[Tee nimetus])</f>
        <v>#REF!</v>
      </c>
      <c r="G32" s="781" t="e">
        <f>LOOKUP(B32,[2]!Table1[Number],[2]!Table1[Algus mkaugus])</f>
        <v>#REF!</v>
      </c>
      <c r="H32" s="781" t="e">
        <f>LOOKUP(B32,[2]!Table1[Number],[2]!Table1[Silla pikkus])</f>
        <v>#REF!</v>
      </c>
      <c r="I32" s="782" t="e">
        <f>LOOKUP(B32,[2]!Table1[Number],[2]!Table1[Sõidutee laius sillal])</f>
        <v>#REF!</v>
      </c>
      <c r="J32" s="782" t="e">
        <f>LOOKUP(B32,[2]!Table1[Number],[2]!Table1[Regioon])</f>
        <v>#REF!</v>
      </c>
      <c r="K32" s="783" t="e">
        <f>LOOKUP(B32,[2]!Table1[Number],[2]!Table1[Maakond])</f>
        <v>#REF!</v>
      </c>
      <c r="L32" s="781" t="e">
        <f>LOOKUP(B32,[2]!Table1[Number],[2]!Table1[Aasta keskmine ööp. liiklus])</f>
        <v>#REF!</v>
      </c>
      <c r="M32" s="781" t="e">
        <f>LOOKUP(B32,[2]!Table1[Number],[2]!Table1[Ehitusaasta])</f>
        <v>#REF!</v>
      </c>
      <c r="N32" s="815">
        <v>480000</v>
      </c>
      <c r="O32" s="815"/>
      <c r="P32" s="815"/>
      <c r="Q32" s="815"/>
      <c r="R32" s="815"/>
      <c r="S32" s="815">
        <v>480000</v>
      </c>
      <c r="T32" s="804" t="s">
        <v>610</v>
      </c>
    </row>
    <row r="33" spans="1:20" x14ac:dyDescent="0.3">
      <c r="A33" s="778" t="e">
        <f>LOOKUP(B33,[2]!Table1[Number],[2]!Table1[Koht])</f>
        <v>#REF!</v>
      </c>
      <c r="B33" s="805">
        <v>118</v>
      </c>
      <c r="C33" s="780" t="e">
        <f>LOOKUP(B33,[2]!Table1[Number],[2]!Table1[Seisundi indeks])</f>
        <v>#REF!</v>
      </c>
      <c r="D33" s="781" t="e">
        <f>LOOKUP(B33,[2]!Table1[Number],[2]!Table1[Nimi])</f>
        <v>#REF!</v>
      </c>
      <c r="E33" s="781" t="e">
        <f>LOOKUP(B33,[2]!Table1[Number],[2]!Table1[Tee nr])</f>
        <v>#REF!</v>
      </c>
      <c r="F33" s="781" t="e">
        <f>LOOKUP(B33,[2]!Table1[Number],[2]!Table1[Tee nimetus])</f>
        <v>#REF!</v>
      </c>
      <c r="G33" s="781" t="e">
        <f>LOOKUP(B33,[2]!Table1[Number],[2]!Table1[Algus mkaugus])</f>
        <v>#REF!</v>
      </c>
      <c r="H33" s="781" t="e">
        <f>LOOKUP(B33,[2]!Table1[Number],[2]!Table1[Silla pikkus])</f>
        <v>#REF!</v>
      </c>
      <c r="I33" s="782" t="e">
        <f>LOOKUP(B33,[2]!Table1[Number],[2]!Table1[Sõidutee laius sillal])</f>
        <v>#REF!</v>
      </c>
      <c r="J33" s="782" t="e">
        <f>LOOKUP(B33,[2]!Table1[Number],[2]!Table1[Regioon])</f>
        <v>#REF!</v>
      </c>
      <c r="K33" s="783" t="e">
        <f>LOOKUP(B33,[2]!Table1[Number],[2]!Table1[Maakond])</f>
        <v>#REF!</v>
      </c>
      <c r="L33" s="781" t="e">
        <f>LOOKUP(B33,[2]!Table1[Number],[2]!Table1[Aasta keskmine ööp. liiklus])</f>
        <v>#REF!</v>
      </c>
      <c r="M33" s="781" t="e">
        <f>LOOKUP(B33,[2]!Table1[Number],[2]!Table1[Ehitusaasta])</f>
        <v>#REF!</v>
      </c>
      <c r="N33" s="807">
        <v>120000</v>
      </c>
      <c r="O33" s="808"/>
      <c r="P33" s="808"/>
      <c r="Q33" s="824"/>
      <c r="R33" s="807">
        <v>120000</v>
      </c>
      <c r="S33" s="808"/>
      <c r="T33" s="785">
        <v>2020</v>
      </c>
    </row>
    <row r="34" spans="1:20" x14ac:dyDescent="0.3">
      <c r="A34" s="778" t="e">
        <f>LOOKUP(B34,[2]!Table1[Number],[2]!Table1[Koht])</f>
        <v>#REF!</v>
      </c>
      <c r="B34" s="813">
        <v>983</v>
      </c>
      <c r="C34" s="780" t="e">
        <f>LOOKUP(B34,[2]!Table1[Number],[2]!Table1[Seisundi indeks])</f>
        <v>#REF!</v>
      </c>
      <c r="D34" s="781" t="e">
        <f>LOOKUP(B34,[2]!Table1[Number],[2]!Table1[Nimi])</f>
        <v>#REF!</v>
      </c>
      <c r="E34" s="781" t="e">
        <f>LOOKUP(B34,[2]!Table1[Number],[2]!Table1[Tee nr])</f>
        <v>#REF!</v>
      </c>
      <c r="F34" s="781" t="e">
        <f>LOOKUP(B34,[2]!Table1[Number],[2]!Table1[Tee nimetus])</f>
        <v>#REF!</v>
      </c>
      <c r="G34" s="781" t="e">
        <f>LOOKUP(B34,[2]!Table1[Number],[2]!Table1[Algus mkaugus])</f>
        <v>#REF!</v>
      </c>
      <c r="H34" s="781" t="e">
        <f>LOOKUP(B34,[2]!Table1[Number],[2]!Table1[Silla pikkus])</f>
        <v>#REF!</v>
      </c>
      <c r="I34" s="782" t="e">
        <f>LOOKUP(B34,[2]!Table1[Number],[2]!Table1[Sõidutee laius sillal])</f>
        <v>#REF!</v>
      </c>
      <c r="J34" s="782" t="e">
        <f>LOOKUP(B34,[2]!Table1[Number],[2]!Table1[Regioon])</f>
        <v>#REF!</v>
      </c>
      <c r="K34" s="783" t="e">
        <f>LOOKUP(B34,[2]!Table1[Number],[2]!Table1[Maakond])</f>
        <v>#REF!</v>
      </c>
      <c r="L34" s="781" t="e">
        <f>LOOKUP(B34,[2]!Table1[Number],[2]!Table1[Aasta keskmine ööp. liiklus])</f>
        <v>#REF!</v>
      </c>
      <c r="M34" s="781" t="e">
        <f>LOOKUP(B34,[2]!Table1[Number],[2]!Table1[Ehitusaasta])</f>
        <v>#REF!</v>
      </c>
      <c r="N34" s="814">
        <v>130000</v>
      </c>
      <c r="O34" s="815"/>
      <c r="P34" s="815"/>
      <c r="Q34" s="815"/>
      <c r="R34" s="829"/>
      <c r="S34" s="830">
        <v>130000</v>
      </c>
      <c r="T34" s="785">
        <v>2019</v>
      </c>
    </row>
    <row r="35" spans="1:20" x14ac:dyDescent="0.3">
      <c r="A35" s="778" t="e">
        <f>LOOKUP(B35,[2]!Table1[Number],[2]!Table1[Koht])</f>
        <v>#REF!</v>
      </c>
      <c r="B35" s="805">
        <v>978</v>
      </c>
      <c r="C35" s="780" t="e">
        <f>LOOKUP(B35,[2]!Table1[Number],[2]!Table1[Seisundi indeks])</f>
        <v>#REF!</v>
      </c>
      <c r="D35" s="781" t="e">
        <f>LOOKUP(B35,[2]!Table1[Number],[2]!Table1[Nimi])</f>
        <v>#REF!</v>
      </c>
      <c r="E35" s="781" t="e">
        <f>LOOKUP(B35,[2]!Table1[Number],[2]!Table1[Tee nr])</f>
        <v>#REF!</v>
      </c>
      <c r="F35" s="781" t="e">
        <f>LOOKUP(B35,[2]!Table1[Number],[2]!Table1[Tee nimetus])</f>
        <v>#REF!</v>
      </c>
      <c r="G35" s="781" t="e">
        <f>LOOKUP(B35,[2]!Table1[Number],[2]!Table1[Algus mkaugus])</f>
        <v>#REF!</v>
      </c>
      <c r="H35" s="781" t="e">
        <f>LOOKUP(B35,[2]!Table1[Number],[2]!Table1[Silla pikkus])</f>
        <v>#REF!</v>
      </c>
      <c r="I35" s="782" t="e">
        <f>LOOKUP(B35,[2]!Table1[Number],[2]!Table1[Sõidutee laius sillal])</f>
        <v>#REF!</v>
      </c>
      <c r="J35" s="782" t="e">
        <f>LOOKUP(B35,[2]!Table1[Number],[2]!Table1[Regioon])</f>
        <v>#REF!</v>
      </c>
      <c r="K35" s="783" t="e">
        <f>LOOKUP(B35,[2]!Table1[Number],[2]!Table1[Maakond])</f>
        <v>#REF!</v>
      </c>
      <c r="L35" s="781" t="e">
        <f>LOOKUP(B35,[2]!Table1[Number],[2]!Table1[Aasta keskmine ööp. liiklus])</f>
        <v>#REF!</v>
      </c>
      <c r="M35" s="781" t="e">
        <f>LOOKUP(B35,[2]!Table1[Number],[2]!Table1[Ehitusaasta])</f>
        <v>#REF!</v>
      </c>
      <c r="N35" s="831">
        <v>170000</v>
      </c>
      <c r="O35" s="831"/>
      <c r="P35" s="831"/>
      <c r="Q35" s="831"/>
      <c r="R35" s="831"/>
      <c r="S35" s="831">
        <v>170000</v>
      </c>
      <c r="T35" s="785">
        <v>2020</v>
      </c>
    </row>
    <row r="36" spans="1:20" x14ac:dyDescent="0.3">
      <c r="A36" s="778" t="e">
        <f>LOOKUP(B36,[2]!Table1[Number],[2]!Table1[Koht])</f>
        <v>#REF!</v>
      </c>
      <c r="B36" s="805">
        <v>244</v>
      </c>
      <c r="C36" s="780" t="e">
        <f>LOOKUP(B36,[2]!Table1[Number],[2]!Table1[Seisundi indeks])</f>
        <v>#REF!</v>
      </c>
      <c r="D36" s="781" t="e">
        <f>LOOKUP(B36,[2]!Table1[Number],[2]!Table1[Nimi])</f>
        <v>#REF!</v>
      </c>
      <c r="E36" s="781" t="e">
        <f>LOOKUP(B36,[2]!Table1[Number],[2]!Table1[Tee nr])</f>
        <v>#REF!</v>
      </c>
      <c r="F36" s="781" t="e">
        <f>LOOKUP(B36,[2]!Table1[Number],[2]!Table1[Tee nimetus])</f>
        <v>#REF!</v>
      </c>
      <c r="G36" s="781" t="e">
        <f>LOOKUP(B36,[2]!Table1[Number],[2]!Table1[Algus mkaugus])</f>
        <v>#REF!</v>
      </c>
      <c r="H36" s="781" t="e">
        <f>LOOKUP(B36,[2]!Table1[Number],[2]!Table1[Silla pikkus])</f>
        <v>#REF!</v>
      </c>
      <c r="I36" s="782" t="e">
        <f>LOOKUP(B36,[2]!Table1[Number],[2]!Table1[Sõidutee laius sillal])</f>
        <v>#REF!</v>
      </c>
      <c r="J36" s="782" t="e">
        <f>LOOKUP(B36,[2]!Table1[Number],[2]!Table1[Regioon])</f>
        <v>#REF!</v>
      </c>
      <c r="K36" s="783" t="e">
        <f>LOOKUP(B36,[2]!Table1[Number],[2]!Table1[Maakond])</f>
        <v>#REF!</v>
      </c>
      <c r="L36" s="781" t="e">
        <f>LOOKUP(B36,[2]!Table1[Number],[2]!Table1[Aasta keskmine ööp. liiklus])</f>
        <v>#REF!</v>
      </c>
      <c r="M36" s="781" t="e">
        <f>LOOKUP(B36,[2]!Table1[Number],[2]!Table1[Ehitusaasta])</f>
        <v>#REF!</v>
      </c>
      <c r="N36" s="818">
        <v>160000</v>
      </c>
      <c r="O36" s="820"/>
      <c r="P36" s="820">
        <v>160000</v>
      </c>
      <c r="Q36" s="803"/>
      <c r="R36" s="820"/>
      <c r="S36" s="820"/>
      <c r="T36" s="785">
        <v>2019</v>
      </c>
    </row>
    <row r="37" spans="1:20" x14ac:dyDescent="0.3">
      <c r="A37" s="778" t="e">
        <f>LOOKUP(B37,[2]!Table1[Number],[2]!Table1[Koht])</f>
        <v>#REF!</v>
      </c>
      <c r="B37" s="805">
        <v>180</v>
      </c>
      <c r="C37" s="780" t="e">
        <f>LOOKUP(B37,[2]!Table1[Number],[2]!Table1[Seisundi indeks])</f>
        <v>#REF!</v>
      </c>
      <c r="D37" s="781" t="e">
        <f>LOOKUP(B37,[2]!Table1[Number],[2]!Table1[Nimi])</f>
        <v>#REF!</v>
      </c>
      <c r="E37" s="781" t="e">
        <f>LOOKUP(B37,[2]!Table1[Number],[2]!Table1[Tee nr])</f>
        <v>#REF!</v>
      </c>
      <c r="F37" s="781" t="e">
        <f>LOOKUP(B37,[2]!Table1[Number],[2]!Table1[Tee nimetus])</f>
        <v>#REF!</v>
      </c>
      <c r="G37" s="781" t="e">
        <f>LOOKUP(B37,[2]!Table1[Number],[2]!Table1[Algus mkaugus])</f>
        <v>#REF!</v>
      </c>
      <c r="H37" s="781" t="e">
        <f>LOOKUP(B37,[2]!Table1[Number],[2]!Table1[Silla pikkus])</f>
        <v>#REF!</v>
      </c>
      <c r="I37" s="782" t="e">
        <f>LOOKUP(B37,[2]!Table1[Number],[2]!Table1[Sõidutee laius sillal])</f>
        <v>#REF!</v>
      </c>
      <c r="J37" s="782" t="e">
        <f>LOOKUP(B37,[2]!Table1[Number],[2]!Table1[Regioon])</f>
        <v>#REF!</v>
      </c>
      <c r="K37" s="783" t="e">
        <f>LOOKUP(B37,[2]!Table1[Number],[2]!Table1[Maakond])</f>
        <v>#REF!</v>
      </c>
      <c r="L37" s="781" t="e">
        <f>LOOKUP(B37,[2]!Table1[Number],[2]!Table1[Aasta keskmine ööp. liiklus])</f>
        <v>#REF!</v>
      </c>
      <c r="M37" s="781" t="e">
        <f>LOOKUP(B37,[2]!Table1[Number],[2]!Table1[Ehitusaasta])</f>
        <v>#REF!</v>
      </c>
      <c r="N37" s="818">
        <v>420000</v>
      </c>
      <c r="O37" s="820"/>
      <c r="P37" s="832">
        <v>220000</v>
      </c>
      <c r="Q37" s="833">
        <v>200000</v>
      </c>
      <c r="R37" s="832"/>
      <c r="S37" s="820"/>
      <c r="T37" s="785">
        <v>2019</v>
      </c>
    </row>
    <row r="38" spans="1:20" x14ac:dyDescent="0.3">
      <c r="A38" s="778" t="e">
        <f>LOOKUP(B38,[2]!Table1[Number],[2]!Table1[Koht])</f>
        <v>#REF!</v>
      </c>
      <c r="B38" s="805">
        <v>165</v>
      </c>
      <c r="C38" s="780" t="e">
        <f>LOOKUP(B38,[2]!Table1[Number],[2]!Table1[Seisundi indeks])</f>
        <v>#REF!</v>
      </c>
      <c r="D38" s="781" t="e">
        <f>LOOKUP(B38,[2]!Table1[Number],[2]!Table1[Nimi])</f>
        <v>#REF!</v>
      </c>
      <c r="E38" s="781" t="e">
        <f>LOOKUP(B38,[2]!Table1[Number],[2]!Table1[Tee nr])</f>
        <v>#REF!</v>
      </c>
      <c r="F38" s="781" t="e">
        <f>LOOKUP(B38,[2]!Table1[Number],[2]!Table1[Tee nimetus])</f>
        <v>#REF!</v>
      </c>
      <c r="G38" s="781" t="e">
        <f>LOOKUP(B38,[2]!Table1[Number],[2]!Table1[Algus mkaugus])</f>
        <v>#REF!</v>
      </c>
      <c r="H38" s="781" t="e">
        <f>LOOKUP(B38,[2]!Table1[Number],[2]!Table1[Silla pikkus])</f>
        <v>#REF!</v>
      </c>
      <c r="I38" s="782" t="e">
        <f>LOOKUP(B38,[2]!Table1[Number],[2]!Table1[Sõidutee laius sillal])</f>
        <v>#REF!</v>
      </c>
      <c r="J38" s="782" t="e">
        <f>LOOKUP(B38,[2]!Table1[Number],[2]!Table1[Regioon])</f>
        <v>#REF!</v>
      </c>
      <c r="K38" s="783" t="e">
        <f>LOOKUP(B38,[2]!Table1[Number],[2]!Table1[Maakond])</f>
        <v>#REF!</v>
      </c>
      <c r="L38" s="781" t="e">
        <f>LOOKUP(B38,[2]!Table1[Number],[2]!Table1[Aasta keskmine ööp. liiklus])</f>
        <v>#REF!</v>
      </c>
      <c r="M38" s="781" t="e">
        <f>LOOKUP(B38,[2]!Table1[Number],[2]!Table1[Ehitusaasta])</f>
        <v>#REF!</v>
      </c>
      <c r="N38" s="810">
        <v>150000</v>
      </c>
      <c r="O38" s="810"/>
      <c r="P38" s="811">
        <v>150000</v>
      </c>
      <c r="Q38" s="810"/>
      <c r="R38" s="810"/>
      <c r="S38" s="810"/>
      <c r="T38" s="785">
        <v>2018</v>
      </c>
    </row>
    <row r="39" spans="1:20" x14ac:dyDescent="0.3">
      <c r="A39" s="778" t="e">
        <f>LOOKUP(B39,[2]!Table1[Number],[2]!Table1[Koht])</f>
        <v>#REF!</v>
      </c>
      <c r="B39" s="779">
        <v>850</v>
      </c>
      <c r="C39" s="780" t="e">
        <f>LOOKUP(B39,[2]!Table1[Number],[2]!Table1[Seisundi indeks])</f>
        <v>#REF!</v>
      </c>
      <c r="D39" s="781" t="e">
        <f>LOOKUP(B39,[2]!Table1[Number],[2]!Table1[Nimi])</f>
        <v>#REF!</v>
      </c>
      <c r="E39" s="781" t="e">
        <f>LOOKUP(B39,[2]!Table1[Number],[2]!Table1[Tee nr])</f>
        <v>#REF!</v>
      </c>
      <c r="F39" s="781" t="e">
        <f>LOOKUP(B39,[2]!Table1[Number],[2]!Table1[Tee nimetus])</f>
        <v>#REF!</v>
      </c>
      <c r="G39" s="781" t="e">
        <f>LOOKUP(B39,[2]!Table1[Number],[2]!Table1[Algus mkaugus])</f>
        <v>#REF!</v>
      </c>
      <c r="H39" s="781" t="e">
        <f>LOOKUP(B39,[2]!Table1[Number],[2]!Table1[Silla pikkus])</f>
        <v>#REF!</v>
      </c>
      <c r="I39" s="782" t="e">
        <f>LOOKUP(B39,[2]!Table1[Number],[2]!Table1[Sõidutee laius sillal])</f>
        <v>#REF!</v>
      </c>
      <c r="J39" s="782" t="e">
        <f>LOOKUP(B39,[2]!Table1[Number],[2]!Table1[Regioon])</f>
        <v>#REF!</v>
      </c>
      <c r="K39" s="783" t="e">
        <f>LOOKUP(B39,[2]!Table1[Number],[2]!Table1[Maakond])</f>
        <v>#REF!</v>
      </c>
      <c r="L39" s="781" t="e">
        <f>LOOKUP(B39,[2]!Table1[Number],[2]!Table1[Aasta keskmine ööp. liiklus])</f>
        <v>#REF!</v>
      </c>
      <c r="M39" s="781" t="e">
        <f>LOOKUP(B39,[2]!Table1[Number],[2]!Table1[Ehitusaasta])</f>
        <v>#REF!</v>
      </c>
      <c r="N39" s="802">
        <v>220000</v>
      </c>
      <c r="O39" s="784"/>
      <c r="P39" s="784"/>
      <c r="Q39" s="803">
        <v>220000</v>
      </c>
      <c r="R39" s="784"/>
      <c r="S39" s="784"/>
      <c r="T39" s="785">
        <v>2019</v>
      </c>
    </row>
    <row r="40" spans="1:20" x14ac:dyDescent="0.3">
      <c r="A40" s="778" t="e">
        <f>LOOKUP(B40,[2]!Table1[Number],[2]!Table1[Koht])</f>
        <v>#REF!</v>
      </c>
      <c r="B40" s="813">
        <v>164</v>
      </c>
      <c r="C40" s="780" t="e">
        <f>LOOKUP(B40,[2]!Table1[Number],[2]!Table1[Seisundi indeks])</f>
        <v>#REF!</v>
      </c>
      <c r="D40" s="781" t="e">
        <f>LOOKUP(B40,[2]!Table1[Number],[2]!Table1[Nimi])</f>
        <v>#REF!</v>
      </c>
      <c r="E40" s="781" t="e">
        <f>LOOKUP(B40,[2]!Table1[Number],[2]!Table1[Tee nr])</f>
        <v>#REF!</v>
      </c>
      <c r="F40" s="781" t="e">
        <f>LOOKUP(B40,[2]!Table1[Number],[2]!Table1[Tee nimetus])</f>
        <v>#REF!</v>
      </c>
      <c r="G40" s="781" t="e">
        <f>LOOKUP(B40,[2]!Table1[Number],[2]!Table1[Algus mkaugus])</f>
        <v>#REF!</v>
      </c>
      <c r="H40" s="781" t="e">
        <f>LOOKUP(B40,[2]!Table1[Number],[2]!Table1[Silla pikkus])</f>
        <v>#REF!</v>
      </c>
      <c r="I40" s="782" t="e">
        <f>LOOKUP(B40,[2]!Table1[Number],[2]!Table1[Sõidutee laius sillal])</f>
        <v>#REF!</v>
      </c>
      <c r="J40" s="782" t="e">
        <f>LOOKUP(B40,[2]!Table1[Number],[2]!Table1[Regioon])</f>
        <v>#REF!</v>
      </c>
      <c r="K40" s="783" t="e">
        <f>LOOKUP(B40,[2]!Table1[Number],[2]!Table1[Maakond])</f>
        <v>#REF!</v>
      </c>
      <c r="L40" s="781" t="e">
        <f>LOOKUP(B40,[2]!Table1[Number],[2]!Table1[Aasta keskmine ööp. liiklus])</f>
        <v>#REF!</v>
      </c>
      <c r="M40" s="781" t="e">
        <f>LOOKUP(B40,[2]!Table1[Number],[2]!Table1[Ehitusaasta])</f>
        <v>#REF!</v>
      </c>
      <c r="N40" s="814">
        <v>70000</v>
      </c>
      <c r="O40" s="815"/>
      <c r="P40" s="815">
        <v>70000</v>
      </c>
      <c r="Q40" s="815"/>
      <c r="R40" s="815"/>
      <c r="S40" s="814"/>
      <c r="T40" s="785">
        <v>2020</v>
      </c>
    </row>
    <row r="41" spans="1:20" x14ac:dyDescent="0.3">
      <c r="A41" s="778" t="e">
        <f>LOOKUP(B41,[2]!Table1[Number],[2]!Table1[Koht])</f>
        <v>#REF!</v>
      </c>
      <c r="B41" s="805">
        <v>491</v>
      </c>
      <c r="C41" s="780" t="e">
        <f>LOOKUP(B41,[2]!Table1[Number],[2]!Table1[Seisundi indeks])</f>
        <v>#REF!</v>
      </c>
      <c r="D41" s="781" t="e">
        <f>LOOKUP(B41,[2]!Table1[Number],[2]!Table1[Nimi])</f>
        <v>#REF!</v>
      </c>
      <c r="E41" s="781" t="e">
        <f>LOOKUP(B41,[2]!Table1[Number],[2]!Table1[Tee nr])</f>
        <v>#REF!</v>
      </c>
      <c r="F41" s="781" t="e">
        <f>LOOKUP(B41,[2]!Table1[Number],[2]!Table1[Tee nimetus])</f>
        <v>#REF!</v>
      </c>
      <c r="G41" s="781" t="e">
        <f>LOOKUP(B41,[2]!Table1[Number],[2]!Table1[Algus mkaugus])</f>
        <v>#REF!</v>
      </c>
      <c r="H41" s="781" t="e">
        <f>LOOKUP(B41,[2]!Table1[Number],[2]!Table1[Silla pikkus])</f>
        <v>#REF!</v>
      </c>
      <c r="I41" s="782" t="e">
        <f>LOOKUP(B41,[2]!Table1[Number],[2]!Table1[Sõidutee laius sillal])</f>
        <v>#REF!</v>
      </c>
      <c r="J41" s="782" t="e">
        <f>LOOKUP(B41,[2]!Table1[Number],[2]!Table1[Regioon])</f>
        <v>#REF!</v>
      </c>
      <c r="K41" s="783" t="e">
        <f>LOOKUP(B41,[2]!Table1[Number],[2]!Table1[Maakond])</f>
        <v>#REF!</v>
      </c>
      <c r="L41" s="781" t="e">
        <f>LOOKUP(B41,[2]!Table1[Number],[2]!Table1[Aasta keskmine ööp. liiklus])</f>
        <v>#REF!</v>
      </c>
      <c r="M41" s="781" t="e">
        <f>LOOKUP(B41,[2]!Table1[Number],[2]!Table1[Ehitusaasta])</f>
        <v>#REF!</v>
      </c>
      <c r="N41" s="824">
        <v>170000</v>
      </c>
      <c r="O41" s="810"/>
      <c r="P41" s="810"/>
      <c r="Q41" s="810"/>
      <c r="R41" s="824">
        <v>170000</v>
      </c>
      <c r="S41" s="810"/>
      <c r="T41" s="785">
        <v>2020</v>
      </c>
    </row>
    <row r="42" spans="1:20" x14ac:dyDescent="0.3">
      <c r="A42" s="778" t="e">
        <f>LOOKUP(B42,[2]!Table1[Number],[2]!Table1[Koht])</f>
        <v>#REF!</v>
      </c>
      <c r="B42" s="779">
        <v>866</v>
      </c>
      <c r="C42" s="780" t="e">
        <f>LOOKUP(B42,[2]!Table1[Number],[2]!Table1[Seisundi indeks])</f>
        <v>#REF!</v>
      </c>
      <c r="D42" s="781" t="e">
        <f>LOOKUP(B42,[2]!Table1[Number],[2]!Table1[Nimi])</f>
        <v>#REF!</v>
      </c>
      <c r="E42" s="781" t="e">
        <f>LOOKUP(B42,[2]!Table1[Number],[2]!Table1[Tee nr])</f>
        <v>#REF!</v>
      </c>
      <c r="F42" s="781" t="e">
        <f>LOOKUP(B42,[2]!Table1[Number],[2]!Table1[Tee nimetus])</f>
        <v>#REF!</v>
      </c>
      <c r="G42" s="781" t="e">
        <f>LOOKUP(B42,[2]!Table1[Number],[2]!Table1[Algus mkaugus])</f>
        <v>#REF!</v>
      </c>
      <c r="H42" s="781" t="e">
        <f>LOOKUP(B42,[2]!Table1[Number],[2]!Table1[Silla pikkus])</f>
        <v>#REF!</v>
      </c>
      <c r="I42" s="782" t="e">
        <f>LOOKUP(B42,[2]!Table1[Number],[2]!Table1[Sõidutee laius sillal])</f>
        <v>#REF!</v>
      </c>
      <c r="J42" s="782" t="e">
        <f>LOOKUP(B42,[2]!Table1[Number],[2]!Table1[Regioon])</f>
        <v>#REF!</v>
      </c>
      <c r="K42" s="783" t="e">
        <f>LOOKUP(B42,[2]!Table1[Number],[2]!Table1[Maakond])</f>
        <v>#REF!</v>
      </c>
      <c r="L42" s="781" t="e">
        <f>LOOKUP(B42,[2]!Table1[Number],[2]!Table1[Aasta keskmine ööp. liiklus])</f>
        <v>#REF!</v>
      </c>
      <c r="M42" s="781" t="e">
        <f>LOOKUP(B42,[2]!Table1[Number],[2]!Table1[Ehitusaasta])</f>
        <v>#REF!</v>
      </c>
      <c r="N42" s="784">
        <v>150000</v>
      </c>
      <c r="O42" s="784"/>
      <c r="P42" s="784"/>
      <c r="Q42" s="803">
        <v>150000</v>
      </c>
      <c r="R42" s="784"/>
      <c r="S42" s="784"/>
      <c r="T42" s="804">
        <v>2019</v>
      </c>
    </row>
    <row r="43" spans="1:20" x14ac:dyDescent="0.3">
      <c r="A43" s="778" t="e">
        <f>LOOKUP(B43,[2]!Table1[Number],[2]!Table1[Koht])</f>
        <v>#REF!</v>
      </c>
      <c r="B43" s="779">
        <v>438</v>
      </c>
      <c r="C43" s="780" t="e">
        <f>LOOKUP(B43,[2]!Table1[Number],[2]!Table1[Seisundi indeks])</f>
        <v>#REF!</v>
      </c>
      <c r="D43" s="781" t="e">
        <f>LOOKUP(B43,[2]!Table1[Number],[2]!Table1[Nimi])</f>
        <v>#REF!</v>
      </c>
      <c r="E43" s="781" t="e">
        <f>LOOKUP(B43,[2]!Table1[Number],[2]!Table1[Tee nr])</f>
        <v>#REF!</v>
      </c>
      <c r="F43" s="781" t="e">
        <f>LOOKUP(B43,[2]!Table1[Number],[2]!Table1[Tee nimetus])</f>
        <v>#REF!</v>
      </c>
      <c r="G43" s="781" t="e">
        <f>LOOKUP(B43,[2]!Table1[Number],[2]!Table1[Algus mkaugus])</f>
        <v>#REF!</v>
      </c>
      <c r="H43" s="781" t="e">
        <f>LOOKUP(B43,[2]!Table1[Number],[2]!Table1[Silla pikkus])</f>
        <v>#REF!</v>
      </c>
      <c r="I43" s="782" t="e">
        <f>LOOKUP(B43,[2]!Table1[Number],[2]!Table1[Sõidutee laius sillal])</f>
        <v>#REF!</v>
      </c>
      <c r="J43" s="782" t="e">
        <f>LOOKUP(B43,[2]!Table1[Number],[2]!Table1[Regioon])</f>
        <v>#REF!</v>
      </c>
      <c r="K43" s="783" t="e">
        <f>LOOKUP(B43,[2]!Table1[Number],[2]!Table1[Maakond])</f>
        <v>#REF!</v>
      </c>
      <c r="L43" s="781" t="e">
        <f>LOOKUP(B43,[2]!Table1[Number],[2]!Table1[Aasta keskmine ööp. liiklus])</f>
        <v>#REF!</v>
      </c>
      <c r="M43" s="781" t="e">
        <f>LOOKUP(B43,[2]!Table1[Number],[2]!Table1[Ehitusaasta])</f>
        <v>#REF!</v>
      </c>
      <c r="N43" s="818">
        <v>70000</v>
      </c>
      <c r="O43" s="820"/>
      <c r="P43" s="820"/>
      <c r="Q43" s="820"/>
      <c r="R43" s="820"/>
      <c r="S43" s="818">
        <v>70000</v>
      </c>
      <c r="T43" s="785" t="s">
        <v>610</v>
      </c>
    </row>
    <row r="44" spans="1:20" x14ac:dyDescent="0.3">
      <c r="A44" s="778" t="e">
        <f>LOOKUP(B44,[2]!Table1[Number],[2]!Table1[Koht])</f>
        <v>#REF!</v>
      </c>
      <c r="B44" s="805">
        <v>1044</v>
      </c>
      <c r="C44" s="780" t="e">
        <f>LOOKUP(B44,[2]!Table1[Number],[2]!Table1[Seisundi indeks])</f>
        <v>#REF!</v>
      </c>
      <c r="D44" s="781" t="e">
        <f>LOOKUP(B44,[2]!Table1[Number],[2]!Table1[Nimi])</f>
        <v>#REF!</v>
      </c>
      <c r="E44" s="781" t="e">
        <f>LOOKUP(B44,[2]!Table1[Number],[2]!Table1[Tee nr])</f>
        <v>#REF!</v>
      </c>
      <c r="F44" s="781" t="e">
        <f>LOOKUP(B44,[2]!Table1[Number],[2]!Table1[Tee nimetus])</f>
        <v>#REF!</v>
      </c>
      <c r="G44" s="781" t="e">
        <f>LOOKUP(B44,[2]!Table1[Number],[2]!Table1[Algus mkaugus])</f>
        <v>#REF!</v>
      </c>
      <c r="H44" s="781" t="e">
        <f>LOOKUP(B44,[2]!Table1[Number],[2]!Table1[Silla pikkus])</f>
        <v>#REF!</v>
      </c>
      <c r="I44" s="782" t="e">
        <f>LOOKUP(B44,[2]!Table1[Number],[2]!Table1[Sõidutee laius sillal])</f>
        <v>#REF!</v>
      </c>
      <c r="J44" s="782" t="e">
        <f>LOOKUP(B44,[2]!Table1[Number],[2]!Table1[Regioon])</f>
        <v>#REF!</v>
      </c>
      <c r="K44" s="783" t="e">
        <f>LOOKUP(B44,[2]!Table1[Number],[2]!Table1[Maakond])</f>
        <v>#REF!</v>
      </c>
      <c r="L44" s="781" t="e">
        <f>LOOKUP(B44,[2]!Table1[Number],[2]!Table1[Aasta keskmine ööp. liiklus])</f>
        <v>#REF!</v>
      </c>
      <c r="M44" s="781" t="e">
        <f>LOOKUP(B44,[2]!Table1[Number],[2]!Table1[Ehitusaasta])</f>
        <v>#REF!</v>
      </c>
      <c r="N44" s="808">
        <v>70000</v>
      </c>
      <c r="O44" s="808"/>
      <c r="P44" s="808"/>
      <c r="Q44" s="808"/>
      <c r="R44" s="817">
        <v>70000</v>
      </c>
      <c r="S44" s="808"/>
      <c r="T44" s="785">
        <v>2019</v>
      </c>
    </row>
    <row r="45" spans="1:20" x14ac:dyDescent="0.3">
      <c r="A45" s="778" t="e">
        <f>LOOKUP(B45,[2]!Table1[Number],[2]!Table1[Koht])</f>
        <v>#REF!</v>
      </c>
      <c r="B45" s="813">
        <v>574</v>
      </c>
      <c r="C45" s="780" t="e">
        <f>LOOKUP(B45,[2]!Table1[Number],[2]!Table1[Seisundi indeks])</f>
        <v>#REF!</v>
      </c>
      <c r="D45" s="781" t="e">
        <f>LOOKUP(B45,[2]!Table1[Number],[2]!Table1[Nimi])</f>
        <v>#REF!</v>
      </c>
      <c r="E45" s="781" t="e">
        <f>LOOKUP(B45,[2]!Table1[Number],[2]!Table1[Tee nr])</f>
        <v>#REF!</v>
      </c>
      <c r="F45" s="781" t="e">
        <f>LOOKUP(B45,[2]!Table1[Number],[2]!Table1[Tee nimetus])</f>
        <v>#REF!</v>
      </c>
      <c r="G45" s="781" t="e">
        <f>LOOKUP(B45,[2]!Table1[Number],[2]!Table1[Algus mkaugus])</f>
        <v>#REF!</v>
      </c>
      <c r="H45" s="781" t="e">
        <f>LOOKUP(B45,[2]!Table1[Number],[2]!Table1[Silla pikkus])</f>
        <v>#REF!</v>
      </c>
      <c r="I45" s="782" t="e">
        <f>LOOKUP(B45,[2]!Table1[Number],[2]!Table1[Sõidutee laius sillal])</f>
        <v>#REF!</v>
      </c>
      <c r="J45" s="782" t="e">
        <f>LOOKUP(B45,[2]!Table1[Number],[2]!Table1[Regioon])</f>
        <v>#REF!</v>
      </c>
      <c r="K45" s="783" t="e">
        <f>LOOKUP(B45,[2]!Table1[Number],[2]!Table1[Maakond])</f>
        <v>#REF!</v>
      </c>
      <c r="L45" s="781" t="e">
        <f>LOOKUP(B45,[2]!Table1[Number],[2]!Table1[Aasta keskmine ööp. liiklus])</f>
        <v>#REF!</v>
      </c>
      <c r="M45" s="781" t="e">
        <f>LOOKUP(B45,[2]!Table1[Number],[2]!Table1[Ehitusaasta])</f>
        <v>#REF!</v>
      </c>
      <c r="N45" s="815">
        <v>130000</v>
      </c>
      <c r="O45" s="815"/>
      <c r="P45" s="815">
        <v>130000</v>
      </c>
      <c r="Q45" s="815"/>
      <c r="R45" s="815"/>
      <c r="S45" s="815"/>
      <c r="T45" s="785">
        <v>2018</v>
      </c>
    </row>
    <row r="46" spans="1:20" x14ac:dyDescent="0.3">
      <c r="A46" s="778" t="e">
        <f>LOOKUP(B46,[2]!Table1[Number],[2]!Table1[Koht])</f>
        <v>#REF!</v>
      </c>
      <c r="B46" s="813">
        <v>772</v>
      </c>
      <c r="C46" s="780" t="e">
        <f>LOOKUP(B46,[2]!Table1[Number],[2]!Table1[Seisundi indeks])</f>
        <v>#REF!</v>
      </c>
      <c r="D46" s="781" t="e">
        <f>LOOKUP(B46,[2]!Table1[Number],[2]!Table1[Nimi])</f>
        <v>#REF!</v>
      </c>
      <c r="E46" s="781" t="e">
        <f>LOOKUP(B46,[2]!Table1[Number],[2]!Table1[Tee nr])</f>
        <v>#REF!</v>
      </c>
      <c r="F46" s="781" t="e">
        <f>LOOKUP(B46,[2]!Table1[Number],[2]!Table1[Tee nimetus])</f>
        <v>#REF!</v>
      </c>
      <c r="G46" s="781" t="e">
        <f>LOOKUP(B46,[2]!Table1[Number],[2]!Table1[Algus mkaugus])</f>
        <v>#REF!</v>
      </c>
      <c r="H46" s="781" t="e">
        <f>LOOKUP(B46,[2]!Table1[Number],[2]!Table1[Silla pikkus])</f>
        <v>#REF!</v>
      </c>
      <c r="I46" s="782" t="e">
        <f>LOOKUP(B46,[2]!Table1[Number],[2]!Table1[Sõidutee laius sillal])</f>
        <v>#REF!</v>
      </c>
      <c r="J46" s="782" t="e">
        <f>LOOKUP(B46,[2]!Table1[Number],[2]!Table1[Regioon])</f>
        <v>#REF!</v>
      </c>
      <c r="K46" s="783" t="e">
        <f>LOOKUP(B46,[2]!Table1[Number],[2]!Table1[Maakond])</f>
        <v>#REF!</v>
      </c>
      <c r="L46" s="781" t="e">
        <f>LOOKUP(B46,[2]!Table1[Number],[2]!Table1[Aasta keskmine ööp. liiklus])</f>
        <v>#REF!</v>
      </c>
      <c r="M46" s="781" t="e">
        <f>LOOKUP(B46,[2]!Table1[Number],[2]!Table1[Ehitusaasta])</f>
        <v>#REF!</v>
      </c>
      <c r="N46" s="784">
        <v>200000</v>
      </c>
      <c r="O46" s="784"/>
      <c r="P46" s="784">
        <v>200000</v>
      </c>
      <c r="Q46" s="784"/>
      <c r="R46" s="784"/>
      <c r="S46" s="784"/>
      <c r="T46" s="785">
        <v>2018</v>
      </c>
    </row>
    <row r="47" spans="1:20" x14ac:dyDescent="0.3">
      <c r="A47" s="778" t="e">
        <f>LOOKUP(B47,[2]!Table1[Number],[2]!Table1[Koht])</f>
        <v>#REF!</v>
      </c>
      <c r="B47" s="813">
        <v>975</v>
      </c>
      <c r="C47" s="780" t="e">
        <f>LOOKUP(B47,[2]!Table1[Number],[2]!Table1[Seisundi indeks])</f>
        <v>#REF!</v>
      </c>
      <c r="D47" s="781" t="e">
        <f>LOOKUP(B47,[2]!Table1[Number],[2]!Table1[Nimi])</f>
        <v>#REF!</v>
      </c>
      <c r="E47" s="781" t="e">
        <f>LOOKUP(B47,[2]!Table1[Number],[2]!Table1[Tee nr])</f>
        <v>#REF!</v>
      </c>
      <c r="F47" s="781" t="e">
        <f>LOOKUP(B47,[2]!Table1[Number],[2]!Table1[Tee nimetus])</f>
        <v>#REF!</v>
      </c>
      <c r="G47" s="781" t="e">
        <f>LOOKUP(B47,[2]!Table1[Number],[2]!Table1[Algus mkaugus])</f>
        <v>#REF!</v>
      </c>
      <c r="H47" s="781" t="e">
        <f>LOOKUP(B47,[2]!Table1[Number],[2]!Table1[Silla pikkus])</f>
        <v>#REF!</v>
      </c>
      <c r="I47" s="782" t="e">
        <f>LOOKUP(B47,[2]!Table1[Number],[2]!Table1[Sõidutee laius sillal])</f>
        <v>#REF!</v>
      </c>
      <c r="J47" s="782" t="e">
        <f>LOOKUP(B47,[2]!Table1[Number],[2]!Table1[Regioon])</f>
        <v>#REF!</v>
      </c>
      <c r="K47" s="783" t="e">
        <f>LOOKUP(B47,[2]!Table1[Number],[2]!Table1[Maakond])</f>
        <v>#REF!</v>
      </c>
      <c r="L47" s="781" t="e">
        <f>LOOKUP(B47,[2]!Table1[Number],[2]!Table1[Aasta keskmine ööp. liiklus])</f>
        <v>#REF!</v>
      </c>
      <c r="M47" s="781" t="e">
        <f>LOOKUP(B47,[2]!Table1[Number],[2]!Table1[Ehitusaasta])</f>
        <v>#REF!</v>
      </c>
      <c r="N47" s="815">
        <v>125000</v>
      </c>
      <c r="O47" s="815"/>
      <c r="P47" s="815">
        <v>125000</v>
      </c>
      <c r="Q47" s="815"/>
      <c r="R47" s="815"/>
      <c r="S47" s="815"/>
      <c r="T47" s="804">
        <v>2018</v>
      </c>
    </row>
    <row r="48" spans="1:20" x14ac:dyDescent="0.3">
      <c r="A48" s="778" t="e">
        <f>LOOKUP(B48,[2]!Table1[Number],[2]!Table1[Koht])</f>
        <v>#REF!</v>
      </c>
      <c r="B48" s="779">
        <v>1020</v>
      </c>
      <c r="C48" s="780" t="e">
        <f>LOOKUP(B48,[2]!Table1[Number],[2]!Table1[Seisundi indeks])</f>
        <v>#REF!</v>
      </c>
      <c r="D48" s="781" t="e">
        <f>LOOKUP(B48,[2]!Table1[Number],[2]!Table1[Nimi])</f>
        <v>#REF!</v>
      </c>
      <c r="E48" s="781" t="e">
        <f>LOOKUP(B48,[2]!Table1[Number],[2]!Table1[Tee nr])</f>
        <v>#REF!</v>
      </c>
      <c r="F48" s="781" t="e">
        <f>LOOKUP(B48,[2]!Table1[Number],[2]!Table1[Tee nimetus])</f>
        <v>#REF!</v>
      </c>
      <c r="G48" s="781" t="e">
        <f>LOOKUP(B48,[2]!Table1[Number],[2]!Table1[Algus mkaugus])</f>
        <v>#REF!</v>
      </c>
      <c r="H48" s="781" t="e">
        <f>LOOKUP(B48,[2]!Table1[Number],[2]!Table1[Silla pikkus])</f>
        <v>#REF!</v>
      </c>
      <c r="I48" s="782" t="e">
        <f>LOOKUP(B48,[2]!Table1[Number],[2]!Table1[Sõidutee laius sillal])</f>
        <v>#REF!</v>
      </c>
      <c r="J48" s="782" t="e">
        <f>LOOKUP(B48,[2]!Table1[Number],[2]!Table1[Regioon])</f>
        <v>#REF!</v>
      </c>
      <c r="K48" s="783" t="e">
        <f>LOOKUP(B48,[2]!Table1[Number],[2]!Table1[Maakond])</f>
        <v>#REF!</v>
      </c>
      <c r="L48" s="781" t="e">
        <f>LOOKUP(B48,[2]!Table1[Number],[2]!Table1[Aasta keskmine ööp. liiklus])</f>
        <v>#REF!</v>
      </c>
      <c r="M48" s="781" t="e">
        <f>LOOKUP(B48,[2]!Table1[Number],[2]!Table1[Ehitusaasta])</f>
        <v>#REF!</v>
      </c>
      <c r="N48" s="802">
        <v>160000</v>
      </c>
      <c r="O48" s="784"/>
      <c r="P48" s="784"/>
      <c r="Q48" s="784"/>
      <c r="R48" s="784"/>
      <c r="S48" s="802">
        <v>160000</v>
      </c>
      <c r="T48" s="785">
        <v>2019</v>
      </c>
    </row>
    <row r="49" spans="1:20" x14ac:dyDescent="0.3">
      <c r="A49" s="778" t="e">
        <f>LOOKUP(B49,[2]!Table1[Number],[2]!Table1[Koht])</f>
        <v>#REF!</v>
      </c>
      <c r="B49" s="805">
        <v>770</v>
      </c>
      <c r="C49" s="780" t="e">
        <f>LOOKUP(B49,[2]!Table1[Number],[2]!Table1[Seisundi indeks])</f>
        <v>#REF!</v>
      </c>
      <c r="D49" s="781" t="e">
        <f>LOOKUP(B49,[2]!Table1[Number],[2]!Table1[Nimi])</f>
        <v>#REF!</v>
      </c>
      <c r="E49" s="781" t="e">
        <f>LOOKUP(B49,[2]!Table1[Number],[2]!Table1[Tee nr])</f>
        <v>#REF!</v>
      </c>
      <c r="F49" s="781" t="e">
        <f>LOOKUP(B49,[2]!Table1[Number],[2]!Table1[Tee nimetus])</f>
        <v>#REF!</v>
      </c>
      <c r="G49" s="781" t="e">
        <f>LOOKUP(B49,[2]!Table1[Number],[2]!Table1[Algus mkaugus])</f>
        <v>#REF!</v>
      </c>
      <c r="H49" s="781" t="e">
        <f>LOOKUP(B49,[2]!Table1[Number],[2]!Table1[Silla pikkus])</f>
        <v>#REF!</v>
      </c>
      <c r="I49" s="782" t="e">
        <f>LOOKUP(B49,[2]!Table1[Number],[2]!Table1[Sõidutee laius sillal])</f>
        <v>#REF!</v>
      </c>
      <c r="J49" s="782" t="e">
        <f>LOOKUP(B49,[2]!Table1[Number],[2]!Table1[Regioon])</f>
        <v>#REF!</v>
      </c>
      <c r="K49" s="783" t="e">
        <f>LOOKUP(B49,[2]!Table1[Number],[2]!Table1[Maakond])</f>
        <v>#REF!</v>
      </c>
      <c r="L49" s="781" t="e">
        <f>LOOKUP(B49,[2]!Table1[Number],[2]!Table1[Aasta keskmine ööp. liiklus])</f>
        <v>#REF!</v>
      </c>
      <c r="M49" s="781" t="e">
        <f>LOOKUP(B49,[2]!Table1[Number],[2]!Table1[Ehitusaasta])</f>
        <v>#REF!</v>
      </c>
      <c r="N49" s="810">
        <v>120000</v>
      </c>
      <c r="O49" s="810"/>
      <c r="P49" s="810"/>
      <c r="Q49" s="810"/>
      <c r="R49" s="810"/>
      <c r="S49" s="810">
        <v>120000</v>
      </c>
      <c r="T49" s="785">
        <v>2018</v>
      </c>
    </row>
    <row r="50" spans="1:20" x14ac:dyDescent="0.3">
      <c r="A50" s="778" t="e">
        <f>LOOKUP(B50,[2]!Table1[Number],[2]!Table1[Koht])</f>
        <v>#REF!</v>
      </c>
      <c r="B50" s="813">
        <v>72</v>
      </c>
      <c r="C50" s="780" t="e">
        <f>LOOKUP(B50,[2]!Table1[Number],[2]!Table1[Seisundi indeks])</f>
        <v>#REF!</v>
      </c>
      <c r="D50" s="781" t="e">
        <f>LOOKUP(B50,[2]!Table1[Number],[2]!Table1[Nimi])</f>
        <v>#REF!</v>
      </c>
      <c r="E50" s="781" t="e">
        <f>LOOKUP(B50,[2]!Table1[Number],[2]!Table1[Tee nr])</f>
        <v>#REF!</v>
      </c>
      <c r="F50" s="781" t="e">
        <f>LOOKUP(B50,[2]!Table1[Number],[2]!Table1[Tee nimetus])</f>
        <v>#REF!</v>
      </c>
      <c r="G50" s="781" t="e">
        <f>LOOKUP(B50,[2]!Table1[Number],[2]!Table1[Algus mkaugus])</f>
        <v>#REF!</v>
      </c>
      <c r="H50" s="781" t="e">
        <f>LOOKUP(B50,[2]!Table1[Number],[2]!Table1[Silla pikkus])</f>
        <v>#REF!</v>
      </c>
      <c r="I50" s="782" t="e">
        <f>LOOKUP(B50,[2]!Table1[Number],[2]!Table1[Sõidutee laius sillal])</f>
        <v>#REF!</v>
      </c>
      <c r="J50" s="782" t="e">
        <f>LOOKUP(B50,[2]!Table1[Number],[2]!Table1[Regioon])</f>
        <v>#REF!</v>
      </c>
      <c r="K50" s="783" t="e">
        <f>LOOKUP(B50,[2]!Table1[Number],[2]!Table1[Maakond])</f>
        <v>#REF!</v>
      </c>
      <c r="L50" s="781" t="e">
        <f>LOOKUP(B50,[2]!Table1[Number],[2]!Table1[Aasta keskmine ööp. liiklus])</f>
        <v>#REF!</v>
      </c>
      <c r="M50" s="781" t="e">
        <f>LOOKUP(B50,[2]!Table1[Number],[2]!Table1[Ehitusaasta])</f>
        <v>#REF!</v>
      </c>
      <c r="N50" s="803">
        <v>363000</v>
      </c>
      <c r="O50" s="822"/>
      <c r="P50" s="822"/>
      <c r="Q50" s="803">
        <v>363000</v>
      </c>
      <c r="R50" s="822"/>
      <c r="S50" s="822"/>
      <c r="T50" s="785">
        <v>2019</v>
      </c>
    </row>
    <row r="51" spans="1:20" x14ac:dyDescent="0.3">
      <c r="A51" s="778" t="e">
        <f>LOOKUP(B51,[2]!Table1[Number],[2]!Table1[Koht])</f>
        <v>#REF!</v>
      </c>
      <c r="B51" s="813">
        <v>832</v>
      </c>
      <c r="C51" s="780" t="e">
        <f>LOOKUP(B51,[2]!Table1[Number],[2]!Table1[Seisundi indeks])</f>
        <v>#REF!</v>
      </c>
      <c r="D51" s="781" t="e">
        <f>LOOKUP(B51,[2]!Table1[Number],[2]!Table1[Nimi])</f>
        <v>#REF!</v>
      </c>
      <c r="E51" s="781" t="e">
        <f>LOOKUP(B51,[2]!Table1[Number],[2]!Table1[Tee nr])</f>
        <v>#REF!</v>
      </c>
      <c r="F51" s="781" t="e">
        <f>LOOKUP(B51,[2]!Table1[Number],[2]!Table1[Tee nimetus])</f>
        <v>#REF!</v>
      </c>
      <c r="G51" s="781" t="e">
        <f>LOOKUP(B51,[2]!Table1[Number],[2]!Table1[Algus mkaugus])</f>
        <v>#REF!</v>
      </c>
      <c r="H51" s="781" t="e">
        <f>LOOKUP(B51,[2]!Table1[Number],[2]!Table1[Silla pikkus])</f>
        <v>#REF!</v>
      </c>
      <c r="I51" s="782" t="e">
        <f>LOOKUP(B51,[2]!Table1[Number],[2]!Table1[Sõidutee laius sillal])</f>
        <v>#REF!</v>
      </c>
      <c r="J51" s="782" t="e">
        <f>LOOKUP(B51,[2]!Table1[Number],[2]!Table1[Regioon])</f>
        <v>#REF!</v>
      </c>
      <c r="K51" s="783" t="e">
        <f>LOOKUP(B51,[2]!Table1[Number],[2]!Table1[Maakond])</f>
        <v>#REF!</v>
      </c>
      <c r="L51" s="781" t="e">
        <f>LOOKUP(B51,[2]!Table1[Number],[2]!Table1[Aasta keskmine ööp. liiklus])</f>
        <v>#REF!</v>
      </c>
      <c r="M51" s="781" t="e">
        <f>LOOKUP(B51,[2]!Table1[Number],[2]!Table1[Ehitusaasta])</f>
        <v>#REF!</v>
      </c>
      <c r="N51" s="814">
        <v>90000</v>
      </c>
      <c r="O51" s="815"/>
      <c r="P51" s="815"/>
      <c r="Q51" s="815"/>
      <c r="R51" s="814">
        <v>90000</v>
      </c>
      <c r="S51" s="815"/>
      <c r="T51" s="785">
        <v>2020</v>
      </c>
    </row>
    <row r="52" spans="1:20" x14ac:dyDescent="0.3">
      <c r="A52" s="778" t="e">
        <f>LOOKUP(B52,[2]!Table1[Number],[2]!Table1[Koht])</f>
        <v>#REF!</v>
      </c>
      <c r="B52" s="813">
        <v>665</v>
      </c>
      <c r="C52" s="780" t="e">
        <f>LOOKUP(B52,[2]!Table1[Number],[2]!Table1[Seisundi indeks])</f>
        <v>#REF!</v>
      </c>
      <c r="D52" s="781" t="e">
        <f>LOOKUP(B52,[2]!Table1[Number],[2]!Table1[Nimi])</f>
        <v>#REF!</v>
      </c>
      <c r="E52" s="781" t="e">
        <f>LOOKUP(B52,[2]!Table1[Number],[2]!Table1[Tee nr])</f>
        <v>#REF!</v>
      </c>
      <c r="F52" s="781" t="e">
        <f>LOOKUP(B52,[2]!Table1[Number],[2]!Table1[Tee nimetus])</f>
        <v>#REF!</v>
      </c>
      <c r="G52" s="781" t="e">
        <f>LOOKUP(B52,[2]!Table1[Number],[2]!Table1[Algus mkaugus])</f>
        <v>#REF!</v>
      </c>
      <c r="H52" s="781" t="e">
        <f>LOOKUP(B52,[2]!Table1[Number],[2]!Table1[Silla pikkus])</f>
        <v>#REF!</v>
      </c>
      <c r="I52" s="782" t="e">
        <f>LOOKUP(B52,[2]!Table1[Number],[2]!Table1[Sõidutee laius sillal])</f>
        <v>#REF!</v>
      </c>
      <c r="J52" s="782" t="e">
        <f>LOOKUP(B52,[2]!Table1[Number],[2]!Table1[Regioon])</f>
        <v>#REF!</v>
      </c>
      <c r="K52" s="783" t="e">
        <f>LOOKUP(B52,[2]!Table1[Number],[2]!Table1[Maakond])</f>
        <v>#REF!</v>
      </c>
      <c r="L52" s="781" t="e">
        <f>LOOKUP(B52,[2]!Table1[Number],[2]!Table1[Aasta keskmine ööp. liiklus])</f>
        <v>#REF!</v>
      </c>
      <c r="M52" s="781" t="e">
        <f>LOOKUP(B52,[2]!Table1[Number],[2]!Table1[Ehitusaasta])</f>
        <v>#REF!</v>
      </c>
      <c r="N52" s="803">
        <v>100000</v>
      </c>
      <c r="O52" s="803"/>
      <c r="P52" s="803"/>
      <c r="Q52" s="822">
        <v>100000</v>
      </c>
      <c r="R52" s="822"/>
      <c r="S52" s="822"/>
      <c r="T52" s="785">
        <v>2018</v>
      </c>
    </row>
    <row r="53" spans="1:20" x14ac:dyDescent="0.3">
      <c r="A53" s="778" t="e">
        <f>LOOKUP(B53,[2]!Table1[Number],[2]!Table1[Koht])</f>
        <v>#REF!</v>
      </c>
      <c r="B53" s="813">
        <v>660</v>
      </c>
      <c r="C53" s="780" t="e">
        <f>LOOKUP(B53,[2]!Table1[Number],[2]!Table1[Seisundi indeks])</f>
        <v>#REF!</v>
      </c>
      <c r="D53" s="781" t="e">
        <f>LOOKUP(B53,[2]!Table1[Number],[2]!Table1[Nimi])</f>
        <v>#REF!</v>
      </c>
      <c r="E53" s="781" t="e">
        <f>LOOKUP(B53,[2]!Table1[Number],[2]!Table1[Tee nr])</f>
        <v>#REF!</v>
      </c>
      <c r="F53" s="781" t="e">
        <f>LOOKUP(B53,[2]!Table1[Number],[2]!Table1[Tee nimetus])</f>
        <v>#REF!</v>
      </c>
      <c r="G53" s="781" t="e">
        <f>LOOKUP(B53,[2]!Table1[Number],[2]!Table1[Algus mkaugus])</f>
        <v>#REF!</v>
      </c>
      <c r="H53" s="781" t="e">
        <f>LOOKUP(B53,[2]!Table1[Number],[2]!Table1[Silla pikkus])</f>
        <v>#REF!</v>
      </c>
      <c r="I53" s="782" t="e">
        <f>LOOKUP(B53,[2]!Table1[Number],[2]!Table1[Sõidutee laius sillal])</f>
        <v>#REF!</v>
      </c>
      <c r="J53" s="782" t="e">
        <f>LOOKUP(B53,[2]!Table1[Number],[2]!Table1[Regioon])</f>
        <v>#REF!</v>
      </c>
      <c r="K53" s="783" t="e">
        <f>LOOKUP(B53,[2]!Table1[Number],[2]!Table1[Maakond])</f>
        <v>#REF!</v>
      </c>
      <c r="L53" s="781" t="e">
        <f>LOOKUP(B53,[2]!Table1[Number],[2]!Table1[Aasta keskmine ööp. liiklus])</f>
        <v>#REF!</v>
      </c>
      <c r="M53" s="781" t="e">
        <f>LOOKUP(B53,[2]!Table1[Number],[2]!Table1[Ehitusaasta])</f>
        <v>#REF!</v>
      </c>
      <c r="N53" s="803">
        <v>219000</v>
      </c>
      <c r="O53" s="803"/>
      <c r="P53" s="803">
        <v>219000</v>
      </c>
      <c r="Q53" s="822"/>
      <c r="R53" s="822"/>
      <c r="S53" s="822"/>
      <c r="T53" s="785">
        <v>2018</v>
      </c>
    </row>
    <row r="54" spans="1:20" x14ac:dyDescent="0.3">
      <c r="A54" s="778" t="e">
        <f>LOOKUP(B54,[2]!Table1[Number],[2]!Table1[Koht])</f>
        <v>#REF!</v>
      </c>
      <c r="B54" s="805">
        <v>252</v>
      </c>
      <c r="C54" s="780" t="e">
        <f>LOOKUP(B54,[2]!Table1[Number],[2]!Table1[Seisundi indeks])</f>
        <v>#REF!</v>
      </c>
      <c r="D54" s="781" t="e">
        <f>LOOKUP(B54,[2]!Table1[Number],[2]!Table1[Nimi])</f>
        <v>#REF!</v>
      </c>
      <c r="E54" s="781" t="e">
        <f>LOOKUP(B54,[2]!Table1[Number],[2]!Table1[Tee nr])</f>
        <v>#REF!</v>
      </c>
      <c r="F54" s="781" t="e">
        <f>LOOKUP(B54,[2]!Table1[Number],[2]!Table1[Tee nimetus])</f>
        <v>#REF!</v>
      </c>
      <c r="G54" s="781" t="e">
        <f>LOOKUP(B54,[2]!Table1[Number],[2]!Table1[Algus mkaugus])</f>
        <v>#REF!</v>
      </c>
      <c r="H54" s="781" t="e">
        <f>LOOKUP(B54,[2]!Table1[Number],[2]!Table1[Silla pikkus])</f>
        <v>#REF!</v>
      </c>
      <c r="I54" s="782" t="e">
        <f>LOOKUP(B54,[2]!Table1[Number],[2]!Table1[Sõidutee laius sillal])</f>
        <v>#REF!</v>
      </c>
      <c r="J54" s="782" t="e">
        <f>LOOKUP(B54,[2]!Table1[Number],[2]!Table1[Regioon])</f>
        <v>#REF!</v>
      </c>
      <c r="K54" s="783" t="e">
        <f>LOOKUP(B54,[2]!Table1[Number],[2]!Table1[Maakond])</f>
        <v>#REF!</v>
      </c>
      <c r="L54" s="781" t="e">
        <f>LOOKUP(B54,[2]!Table1[Number],[2]!Table1[Aasta keskmine ööp. liiklus])</f>
        <v>#REF!</v>
      </c>
      <c r="M54" s="781" t="e">
        <f>LOOKUP(B54,[2]!Table1[Number],[2]!Table1[Ehitusaasta])</f>
        <v>#REF!</v>
      </c>
      <c r="N54" s="824">
        <v>218000</v>
      </c>
      <c r="O54" s="810"/>
      <c r="P54" s="810"/>
      <c r="Q54" s="810"/>
      <c r="R54" s="824"/>
      <c r="S54" s="810">
        <v>218000</v>
      </c>
      <c r="T54" s="785">
        <v>2020</v>
      </c>
    </row>
    <row r="55" spans="1:20" x14ac:dyDescent="0.3">
      <c r="A55" s="778" t="e">
        <f>LOOKUP(B55,[2]!Table1[Number],[2]!Table1[Koht])</f>
        <v>#REF!</v>
      </c>
      <c r="B55" s="813">
        <v>114</v>
      </c>
      <c r="C55" s="780" t="e">
        <f>LOOKUP(B55,[2]!Table1[Number],[2]!Table1[Seisundi indeks])</f>
        <v>#REF!</v>
      </c>
      <c r="D55" s="781" t="e">
        <f>LOOKUP(B55,[2]!Table1[Number],[2]!Table1[Nimi])</f>
        <v>#REF!</v>
      </c>
      <c r="E55" s="781" t="e">
        <f>LOOKUP(B55,[2]!Table1[Number],[2]!Table1[Tee nr])</f>
        <v>#REF!</v>
      </c>
      <c r="F55" s="781" t="e">
        <f>LOOKUP(B55,[2]!Table1[Number],[2]!Table1[Tee nimetus])</f>
        <v>#REF!</v>
      </c>
      <c r="G55" s="781" t="e">
        <f>LOOKUP(B55,[2]!Table1[Number],[2]!Table1[Algus mkaugus])</f>
        <v>#REF!</v>
      </c>
      <c r="H55" s="781" t="e">
        <f>LOOKUP(B55,[2]!Table1[Number],[2]!Table1[Silla pikkus])</f>
        <v>#REF!</v>
      </c>
      <c r="I55" s="782" t="e">
        <f>LOOKUP(B55,[2]!Table1[Number],[2]!Table1[Sõidutee laius sillal])</f>
        <v>#REF!</v>
      </c>
      <c r="J55" s="782" t="e">
        <f>LOOKUP(B55,[2]!Table1[Number],[2]!Table1[Regioon])</f>
        <v>#REF!</v>
      </c>
      <c r="K55" s="783" t="e">
        <f>LOOKUP(B55,[2]!Table1[Number],[2]!Table1[Maakond])</f>
        <v>#REF!</v>
      </c>
      <c r="L55" s="781" t="e">
        <f>LOOKUP(B55,[2]!Table1[Number],[2]!Table1[Aasta keskmine ööp. liiklus])</f>
        <v>#REF!</v>
      </c>
      <c r="M55" s="781" t="e">
        <f>LOOKUP(B55,[2]!Table1[Number],[2]!Table1[Ehitusaasta])</f>
        <v>#REF!</v>
      </c>
      <c r="N55" s="802">
        <v>120000</v>
      </c>
      <c r="O55" s="784"/>
      <c r="P55" s="784"/>
      <c r="Q55" s="803">
        <v>120000</v>
      </c>
      <c r="R55" s="784"/>
      <c r="S55" s="784"/>
      <c r="T55" s="785">
        <v>2019</v>
      </c>
    </row>
    <row r="56" spans="1:20" ht="15" customHeight="1" x14ac:dyDescent="0.3">
      <c r="A56" s="778" t="e">
        <f>LOOKUP(B56,[2]!Table1[Number],[2]!Table1[Koht])</f>
        <v>#REF!</v>
      </c>
      <c r="B56" s="805">
        <v>923</v>
      </c>
      <c r="C56" s="780" t="e">
        <f>LOOKUP(B56,[2]!Table1[Number],[2]!Table1[Seisundi indeks])</f>
        <v>#REF!</v>
      </c>
      <c r="D56" s="781" t="e">
        <f>LOOKUP(B56,[2]!Table1[Number],[2]!Table1[Nimi])</f>
        <v>#REF!</v>
      </c>
      <c r="E56" s="781" t="e">
        <f>LOOKUP(B56,[2]!Table1[Number],[2]!Table1[Tee nr])</f>
        <v>#REF!</v>
      </c>
      <c r="F56" s="781" t="e">
        <f>LOOKUP(B56,[2]!Table1[Number],[2]!Table1[Tee nimetus])</f>
        <v>#REF!</v>
      </c>
      <c r="G56" s="781" t="e">
        <f>LOOKUP(B56,[2]!Table1[Number],[2]!Table1[Algus mkaugus])</f>
        <v>#REF!</v>
      </c>
      <c r="H56" s="781" t="e">
        <f>LOOKUP(B56,[2]!Table1[Number],[2]!Table1[Silla pikkus])</f>
        <v>#REF!</v>
      </c>
      <c r="I56" s="782" t="e">
        <f>LOOKUP(B56,[2]!Table1[Number],[2]!Table1[Sõidutee laius sillal])</f>
        <v>#REF!</v>
      </c>
      <c r="J56" s="782" t="e">
        <f>LOOKUP(B56,[2]!Table1[Number],[2]!Table1[Regioon])</f>
        <v>#REF!</v>
      </c>
      <c r="K56" s="783" t="e">
        <f>LOOKUP(B56,[2]!Table1[Number],[2]!Table1[Maakond])</f>
        <v>#REF!</v>
      </c>
      <c r="L56" s="781" t="e">
        <f>LOOKUP(B56,[2]!Table1[Number],[2]!Table1[Aasta keskmine ööp. liiklus])</f>
        <v>#REF!</v>
      </c>
      <c r="M56" s="781" t="e">
        <f>LOOKUP(B56,[2]!Table1[Number],[2]!Table1[Ehitusaasta])</f>
        <v>#REF!</v>
      </c>
      <c r="N56" s="808">
        <v>400000</v>
      </c>
      <c r="O56" s="808"/>
      <c r="P56" s="817">
        <v>400000</v>
      </c>
      <c r="Q56" s="808"/>
      <c r="R56" s="808"/>
      <c r="S56" s="808"/>
      <c r="T56" s="785">
        <v>2018</v>
      </c>
    </row>
    <row r="57" spans="1:20" x14ac:dyDescent="0.3">
      <c r="A57" s="778" t="e">
        <f>LOOKUP(B57,[2]!Table1[Number],[2]!Table1[Koht])</f>
        <v>#REF!</v>
      </c>
      <c r="B57" s="813">
        <v>128</v>
      </c>
      <c r="C57" s="780" t="e">
        <f>LOOKUP(B57,[2]!Table1[Number],[2]!Table1[Seisundi indeks])</f>
        <v>#REF!</v>
      </c>
      <c r="D57" s="781" t="e">
        <f>LOOKUP(B57,[2]!Table1[Number],[2]!Table1[Nimi])</f>
        <v>#REF!</v>
      </c>
      <c r="E57" s="781" t="e">
        <f>LOOKUP(B57,[2]!Table1[Number],[2]!Table1[Tee nr])</f>
        <v>#REF!</v>
      </c>
      <c r="F57" s="781" t="e">
        <f>LOOKUP(B57,[2]!Table1[Number],[2]!Table1[Tee nimetus])</f>
        <v>#REF!</v>
      </c>
      <c r="G57" s="781" t="e">
        <f>LOOKUP(B57,[2]!Table1[Number],[2]!Table1[Algus mkaugus])</f>
        <v>#REF!</v>
      </c>
      <c r="H57" s="781" t="e">
        <f>LOOKUP(B57,[2]!Table1[Number],[2]!Table1[Silla pikkus])</f>
        <v>#REF!</v>
      </c>
      <c r="I57" s="782" t="e">
        <f>LOOKUP(B57,[2]!Table1[Number],[2]!Table1[Sõidutee laius sillal])</f>
        <v>#REF!</v>
      </c>
      <c r="J57" s="782" t="e">
        <f>LOOKUP(B57,[2]!Table1[Number],[2]!Table1[Regioon])</f>
        <v>#REF!</v>
      </c>
      <c r="K57" s="783" t="e">
        <f>LOOKUP(B57,[2]!Table1[Number],[2]!Table1[Maakond])</f>
        <v>#REF!</v>
      </c>
      <c r="L57" s="781" t="e">
        <f>LOOKUP(B57,[2]!Table1[Number],[2]!Table1[Aasta keskmine ööp. liiklus])</f>
        <v>#REF!</v>
      </c>
      <c r="M57" s="781" t="e">
        <f>LOOKUP(B57,[2]!Table1[Number],[2]!Table1[Ehitusaasta])</f>
        <v>#REF!</v>
      </c>
      <c r="N57" s="815">
        <v>140000</v>
      </c>
      <c r="O57" s="815"/>
      <c r="P57" s="815"/>
      <c r="Q57" s="815"/>
      <c r="R57" s="830">
        <v>140000</v>
      </c>
      <c r="S57" s="815"/>
      <c r="T57" s="804">
        <v>2019</v>
      </c>
    </row>
    <row r="58" spans="1:20" x14ac:dyDescent="0.3">
      <c r="A58" s="778" t="e">
        <f>LOOKUP(B58,[2]!Table1[Number],[2]!Table1[Koht])</f>
        <v>#REF!</v>
      </c>
      <c r="B58" s="813">
        <v>699</v>
      </c>
      <c r="C58" s="780" t="e">
        <f>LOOKUP(B58,[2]!Table1[Number],[2]!Table1[Seisundi indeks])</f>
        <v>#REF!</v>
      </c>
      <c r="D58" s="781" t="e">
        <f>LOOKUP(B58,[2]!Table1[Number],[2]!Table1[Nimi])</f>
        <v>#REF!</v>
      </c>
      <c r="E58" s="781" t="e">
        <f>LOOKUP(B58,[2]!Table1[Number],[2]!Table1[Tee nr])</f>
        <v>#REF!</v>
      </c>
      <c r="F58" s="781" t="e">
        <f>LOOKUP(B58,[2]!Table1[Number],[2]!Table1[Tee nimetus])</f>
        <v>#REF!</v>
      </c>
      <c r="G58" s="781" t="e">
        <f>LOOKUP(B58,[2]!Table1[Number],[2]!Table1[Algus mkaugus])</f>
        <v>#REF!</v>
      </c>
      <c r="H58" s="781" t="e">
        <f>LOOKUP(B58,[2]!Table1[Number],[2]!Table1[Silla pikkus])</f>
        <v>#REF!</v>
      </c>
      <c r="I58" s="782" t="e">
        <f>LOOKUP(B58,[2]!Table1[Number],[2]!Table1[Sõidutee laius sillal])</f>
        <v>#REF!</v>
      </c>
      <c r="J58" s="782" t="e">
        <f>LOOKUP(B58,[2]!Table1[Number],[2]!Table1[Regioon])</f>
        <v>#REF!</v>
      </c>
      <c r="K58" s="783" t="e">
        <f>LOOKUP(B58,[2]!Table1[Number],[2]!Table1[Maakond])</f>
        <v>#REF!</v>
      </c>
      <c r="L58" s="781" t="e">
        <f>LOOKUP(B58,[2]!Table1[Number],[2]!Table1[Aasta keskmine ööp. liiklus])</f>
        <v>#REF!</v>
      </c>
      <c r="M58" s="781" t="e">
        <f>LOOKUP(B58,[2]!Table1[Number],[2]!Table1[Ehitusaasta])</f>
        <v>#REF!</v>
      </c>
      <c r="N58" s="814">
        <v>100000</v>
      </c>
      <c r="O58" s="815"/>
      <c r="P58" s="815"/>
      <c r="Q58" s="815"/>
      <c r="R58" s="815"/>
      <c r="S58" s="814">
        <v>100000</v>
      </c>
      <c r="T58" s="785">
        <v>2019</v>
      </c>
    </row>
    <row r="59" spans="1:20" x14ac:dyDescent="0.3">
      <c r="A59" s="778" t="e">
        <f>LOOKUP(B59,[2]!Table1[Number],[2]!Table1[Koht])</f>
        <v>#REF!</v>
      </c>
      <c r="B59" s="779">
        <v>1067</v>
      </c>
      <c r="C59" s="780" t="e">
        <f>LOOKUP(B59,[2]!Table1[Number],[2]!Table1[Seisundi indeks])</f>
        <v>#REF!</v>
      </c>
      <c r="D59" s="781" t="e">
        <f>LOOKUP(B59,[2]!Table1[Number],[2]!Table1[Nimi])</f>
        <v>#REF!</v>
      </c>
      <c r="E59" s="781" t="e">
        <f>LOOKUP(B59,[2]!Table1[Number],[2]!Table1[Tee nr])</f>
        <v>#REF!</v>
      </c>
      <c r="F59" s="781" t="e">
        <f>LOOKUP(B59,[2]!Table1[Number],[2]!Table1[Tee nimetus])</f>
        <v>#REF!</v>
      </c>
      <c r="G59" s="781" t="e">
        <f>LOOKUP(B59,[2]!Table1[Number],[2]!Table1[Algus mkaugus])</f>
        <v>#REF!</v>
      </c>
      <c r="H59" s="781" t="e">
        <f>LOOKUP(B59,[2]!Table1[Number],[2]!Table1[Silla pikkus])</f>
        <v>#REF!</v>
      </c>
      <c r="I59" s="782" t="e">
        <f>LOOKUP(B59,[2]!Table1[Number],[2]!Table1[Sõidutee laius sillal])</f>
        <v>#REF!</v>
      </c>
      <c r="J59" s="782" t="e">
        <f>LOOKUP(B59,[2]!Table1[Number],[2]!Table1[Regioon])</f>
        <v>#REF!</v>
      </c>
      <c r="K59" s="783" t="e">
        <f>LOOKUP(B59,[2]!Table1[Number],[2]!Table1[Maakond])</f>
        <v>#REF!</v>
      </c>
      <c r="L59" s="781" t="e">
        <f>LOOKUP(B59,[2]!Table1[Number],[2]!Table1[Aasta keskmine ööp. liiklus])</f>
        <v>#REF!</v>
      </c>
      <c r="M59" s="781" t="e">
        <f>LOOKUP(B59,[2]!Table1[Number],[2]!Table1[Ehitusaasta])</f>
        <v>#REF!</v>
      </c>
      <c r="N59" s="818">
        <v>120000</v>
      </c>
      <c r="O59" s="820"/>
      <c r="P59" s="820"/>
      <c r="Q59" s="803">
        <v>120000</v>
      </c>
      <c r="R59" s="820"/>
      <c r="S59" s="820"/>
      <c r="T59" s="785">
        <v>2019</v>
      </c>
    </row>
    <row r="60" spans="1:20" x14ac:dyDescent="0.3">
      <c r="A60" s="778" t="e">
        <f>LOOKUP(B60,[2]!Table1[Number],[2]!Table1[Koht])</f>
        <v>#REF!</v>
      </c>
      <c r="B60" s="813">
        <v>689</v>
      </c>
      <c r="C60" s="780" t="e">
        <f>LOOKUP(B60,[2]!Table1[Number],[2]!Table1[Seisundi indeks])</f>
        <v>#REF!</v>
      </c>
      <c r="D60" s="781" t="e">
        <f>LOOKUP(B60,[2]!Table1[Number],[2]!Table1[Nimi])</f>
        <v>#REF!</v>
      </c>
      <c r="E60" s="781" t="e">
        <f>LOOKUP(B60,[2]!Table1[Number],[2]!Table1[Tee nr])</f>
        <v>#REF!</v>
      </c>
      <c r="F60" s="781" t="e">
        <f>LOOKUP(B60,[2]!Table1[Number],[2]!Table1[Tee nimetus])</f>
        <v>#REF!</v>
      </c>
      <c r="G60" s="781" t="e">
        <f>LOOKUP(B60,[2]!Table1[Number],[2]!Table1[Algus mkaugus])</f>
        <v>#REF!</v>
      </c>
      <c r="H60" s="781" t="e">
        <f>LOOKUP(B60,[2]!Table1[Number],[2]!Table1[Silla pikkus])</f>
        <v>#REF!</v>
      </c>
      <c r="I60" s="782" t="e">
        <f>LOOKUP(B60,[2]!Table1[Number],[2]!Table1[Sõidutee laius sillal])</f>
        <v>#REF!</v>
      </c>
      <c r="J60" s="782" t="e">
        <f>LOOKUP(B60,[2]!Table1[Number],[2]!Table1[Regioon])</f>
        <v>#REF!</v>
      </c>
      <c r="K60" s="783" t="e">
        <f>LOOKUP(B60,[2]!Table1[Number],[2]!Table1[Maakond])</f>
        <v>#REF!</v>
      </c>
      <c r="L60" s="781" t="e">
        <f>LOOKUP(B60,[2]!Table1[Number],[2]!Table1[Aasta keskmine ööp. liiklus])</f>
        <v>#REF!</v>
      </c>
      <c r="M60" s="781" t="e">
        <f>LOOKUP(B60,[2]!Table1[Number],[2]!Table1[Ehitusaasta])</f>
        <v>#REF!</v>
      </c>
      <c r="N60" s="815">
        <v>90000</v>
      </c>
      <c r="O60" s="815"/>
      <c r="P60" s="815"/>
      <c r="Q60" s="830">
        <v>90000</v>
      </c>
      <c r="R60" s="815"/>
      <c r="S60" s="815"/>
      <c r="T60" s="804" t="s">
        <v>610</v>
      </c>
    </row>
    <row r="61" spans="1:20" x14ac:dyDescent="0.3">
      <c r="A61" s="778" t="e">
        <f>LOOKUP(B61,[2]!Table1[Number],[2]!Table1[Koht])</f>
        <v>#REF!</v>
      </c>
      <c r="B61" s="779">
        <v>575</v>
      </c>
      <c r="C61" s="780" t="e">
        <f>LOOKUP(B61,[2]!Table1[Number],[2]!Table1[Seisundi indeks])</f>
        <v>#REF!</v>
      </c>
      <c r="D61" s="781" t="e">
        <f>LOOKUP(B61,[2]!Table1[Number],[2]!Table1[Nimi])</f>
        <v>#REF!</v>
      </c>
      <c r="E61" s="781" t="e">
        <f>LOOKUP(B61,[2]!Table1[Number],[2]!Table1[Tee nr])</f>
        <v>#REF!</v>
      </c>
      <c r="F61" s="781" t="e">
        <f>LOOKUP(B61,[2]!Table1[Number],[2]!Table1[Tee nimetus])</f>
        <v>#REF!</v>
      </c>
      <c r="G61" s="781" t="e">
        <f>LOOKUP(B61,[2]!Table1[Number],[2]!Table1[Algus mkaugus])</f>
        <v>#REF!</v>
      </c>
      <c r="H61" s="781" t="e">
        <f>LOOKUP(B61,[2]!Table1[Number],[2]!Table1[Silla pikkus])</f>
        <v>#REF!</v>
      </c>
      <c r="I61" s="782" t="e">
        <f>LOOKUP(B61,[2]!Table1[Number],[2]!Table1[Sõidutee laius sillal])</f>
        <v>#REF!</v>
      </c>
      <c r="J61" s="782" t="e">
        <f>LOOKUP(B61,[2]!Table1[Number],[2]!Table1[Regioon])</f>
        <v>#REF!</v>
      </c>
      <c r="K61" s="783" t="e">
        <f>LOOKUP(B61,[2]!Table1[Number],[2]!Table1[Maakond])</f>
        <v>#REF!</v>
      </c>
      <c r="L61" s="781" t="e">
        <f>LOOKUP(B61,[2]!Table1[Number],[2]!Table1[Aasta keskmine ööp. liiklus])</f>
        <v>#REF!</v>
      </c>
      <c r="M61" s="781" t="e">
        <f>LOOKUP(B61,[2]!Table1[Number],[2]!Table1[Ehitusaasta])</f>
        <v>#REF!</v>
      </c>
      <c r="N61" s="784">
        <v>220000</v>
      </c>
      <c r="O61" s="784"/>
      <c r="P61" s="784"/>
      <c r="Q61" s="784"/>
      <c r="R61" s="784"/>
      <c r="S61" s="784">
        <v>220000</v>
      </c>
      <c r="T61" s="785">
        <v>2018</v>
      </c>
    </row>
    <row r="62" spans="1:20" x14ac:dyDescent="0.3">
      <c r="A62" s="778" t="e">
        <f>LOOKUP(B62,[2]!Table1[Number],[2]!Table1[Koht])</f>
        <v>#REF!</v>
      </c>
      <c r="B62" s="805">
        <v>408</v>
      </c>
      <c r="C62" s="780" t="e">
        <f>LOOKUP(B62,[2]!Table1[Number],[2]!Table1[Seisundi indeks])</f>
        <v>#REF!</v>
      </c>
      <c r="D62" s="781" t="e">
        <f>LOOKUP(B62,[2]!Table1[Number],[2]!Table1[Nimi])</f>
        <v>#REF!</v>
      </c>
      <c r="E62" s="781" t="e">
        <f>LOOKUP(B62,[2]!Table1[Number],[2]!Table1[Tee nr])</f>
        <v>#REF!</v>
      </c>
      <c r="F62" s="781" t="e">
        <f>LOOKUP(B62,[2]!Table1[Number],[2]!Table1[Tee nimetus])</f>
        <v>#REF!</v>
      </c>
      <c r="G62" s="781" t="e">
        <f>LOOKUP(B62,[2]!Table1[Number],[2]!Table1[Algus mkaugus])</f>
        <v>#REF!</v>
      </c>
      <c r="H62" s="781" t="e">
        <f>LOOKUP(B62,[2]!Table1[Number],[2]!Table1[Silla pikkus])</f>
        <v>#REF!</v>
      </c>
      <c r="I62" s="782" t="e">
        <f>LOOKUP(B62,[2]!Table1[Number],[2]!Table1[Sõidutee laius sillal])</f>
        <v>#REF!</v>
      </c>
      <c r="J62" s="782" t="e">
        <f>LOOKUP(B62,[2]!Table1[Number],[2]!Table1[Regioon])</f>
        <v>#REF!</v>
      </c>
      <c r="K62" s="783" t="e">
        <f>LOOKUP(B62,[2]!Table1[Number],[2]!Table1[Maakond])</f>
        <v>#REF!</v>
      </c>
      <c r="L62" s="781" t="e">
        <f>LOOKUP(B62,[2]!Table1[Number],[2]!Table1[Aasta keskmine ööp. liiklus])</f>
        <v>#REF!</v>
      </c>
      <c r="M62" s="781" t="e">
        <f>LOOKUP(B62,[2]!Table1[Number],[2]!Table1[Ehitusaasta])</f>
        <v>#REF!</v>
      </c>
      <c r="N62" s="818">
        <v>200000</v>
      </c>
      <c r="O62" s="820"/>
      <c r="P62" s="820"/>
      <c r="Q62" s="820"/>
      <c r="R62" s="832">
        <v>200000</v>
      </c>
      <c r="S62" s="818"/>
      <c r="T62" s="785">
        <v>2019</v>
      </c>
    </row>
    <row r="63" spans="1:20" x14ac:dyDescent="0.3">
      <c r="A63" s="778" t="e">
        <f>LOOKUP(B63,[2]!Table1[Number],[2]!Table1[Koht])</f>
        <v>#REF!</v>
      </c>
      <c r="B63" s="805">
        <v>354</v>
      </c>
      <c r="C63" s="780" t="e">
        <f>LOOKUP(B63,[2]!Table1[Number],[2]!Table1[Seisundi indeks])</f>
        <v>#REF!</v>
      </c>
      <c r="D63" s="781" t="e">
        <f>LOOKUP(B63,[2]!Table1[Number],[2]!Table1[Nimi])</f>
        <v>#REF!</v>
      </c>
      <c r="E63" s="781" t="e">
        <f>LOOKUP(B63,[2]!Table1[Number],[2]!Table1[Tee nr])</f>
        <v>#REF!</v>
      </c>
      <c r="F63" s="781" t="e">
        <f>LOOKUP(B63,[2]!Table1[Number],[2]!Table1[Tee nimetus])</f>
        <v>#REF!</v>
      </c>
      <c r="G63" s="781" t="e">
        <f>LOOKUP(B63,[2]!Table1[Number],[2]!Table1[Algus mkaugus])</f>
        <v>#REF!</v>
      </c>
      <c r="H63" s="781" t="e">
        <f>LOOKUP(B63,[2]!Table1[Number],[2]!Table1[Silla pikkus])</f>
        <v>#REF!</v>
      </c>
      <c r="I63" s="782" t="e">
        <f>LOOKUP(B63,[2]!Table1[Number],[2]!Table1[Sõidutee laius sillal])</f>
        <v>#REF!</v>
      </c>
      <c r="J63" s="782" t="e">
        <f>LOOKUP(B63,[2]!Table1[Number],[2]!Table1[Regioon])</f>
        <v>#REF!</v>
      </c>
      <c r="K63" s="783" t="e">
        <f>LOOKUP(B63,[2]!Table1[Number],[2]!Table1[Maakond])</f>
        <v>#REF!</v>
      </c>
      <c r="L63" s="781" t="e">
        <f>LOOKUP(B63,[2]!Table1[Number],[2]!Table1[Aasta keskmine ööp. liiklus])</f>
        <v>#REF!</v>
      </c>
      <c r="M63" s="781" t="e">
        <f>LOOKUP(B63,[2]!Table1[Number],[2]!Table1[Ehitusaasta])</f>
        <v>#REF!</v>
      </c>
      <c r="N63" s="807">
        <v>80000</v>
      </c>
      <c r="O63" s="808"/>
      <c r="P63" s="808"/>
      <c r="Q63" s="803"/>
      <c r="R63" s="817">
        <v>80000</v>
      </c>
      <c r="S63" s="808"/>
      <c r="T63" s="812" t="s">
        <v>609</v>
      </c>
    </row>
    <row r="64" spans="1:20" x14ac:dyDescent="0.3">
      <c r="A64" s="778" t="e">
        <f>LOOKUP(B64,[2]!Table1[Number],[2]!Table1[Koht])</f>
        <v>#REF!</v>
      </c>
      <c r="B64" s="813">
        <v>626</v>
      </c>
      <c r="C64" s="780" t="e">
        <f>LOOKUP(B64,[2]!Table1[Number],[2]!Table1[Seisundi indeks])</f>
        <v>#REF!</v>
      </c>
      <c r="D64" s="781" t="e">
        <f>LOOKUP(B64,[2]!Table1[Number],[2]!Table1[Nimi])</f>
        <v>#REF!</v>
      </c>
      <c r="E64" s="781" t="e">
        <f>LOOKUP(B64,[2]!Table1[Number],[2]!Table1[Tee nr])</f>
        <v>#REF!</v>
      </c>
      <c r="F64" s="781" t="e">
        <f>LOOKUP(B64,[2]!Table1[Number],[2]!Table1[Tee nimetus])</f>
        <v>#REF!</v>
      </c>
      <c r="G64" s="781" t="e">
        <f>LOOKUP(B64,[2]!Table1[Number],[2]!Table1[Algus mkaugus])</f>
        <v>#REF!</v>
      </c>
      <c r="H64" s="781" t="e">
        <f>LOOKUP(B64,[2]!Table1[Number],[2]!Table1[Silla pikkus])</f>
        <v>#REF!</v>
      </c>
      <c r="I64" s="782" t="e">
        <f>LOOKUP(B64,[2]!Table1[Number],[2]!Table1[Sõidutee laius sillal])</f>
        <v>#REF!</v>
      </c>
      <c r="J64" s="782" t="e">
        <f>LOOKUP(B64,[2]!Table1[Number],[2]!Table1[Regioon])</f>
        <v>#REF!</v>
      </c>
      <c r="K64" s="783" t="e">
        <f>LOOKUP(B64,[2]!Table1[Number],[2]!Table1[Maakond])</f>
        <v>#REF!</v>
      </c>
      <c r="L64" s="781" t="e">
        <f>LOOKUP(B64,[2]!Table1[Number],[2]!Table1[Aasta keskmine ööp. liiklus])</f>
        <v>#REF!</v>
      </c>
      <c r="M64" s="781" t="e">
        <f>LOOKUP(B64,[2]!Table1[Number],[2]!Table1[Ehitusaasta])</f>
        <v>#REF!</v>
      </c>
      <c r="N64" s="814">
        <v>100000</v>
      </c>
      <c r="O64" s="815"/>
      <c r="P64" s="815"/>
      <c r="Q64" s="815"/>
      <c r="R64" s="814">
        <v>100000</v>
      </c>
      <c r="S64" s="815"/>
      <c r="T64" s="785">
        <v>2020</v>
      </c>
    </row>
    <row r="65" spans="1:20" x14ac:dyDescent="0.3">
      <c r="A65" s="778" t="e">
        <f>LOOKUP(B65,[2]!Table1[Number],[2]!Table1[Koht])</f>
        <v>#REF!</v>
      </c>
      <c r="B65" s="779">
        <v>429</v>
      </c>
      <c r="C65" s="780" t="e">
        <f>LOOKUP(B65,[2]!Table1[Number],[2]!Table1[Seisundi indeks])</f>
        <v>#REF!</v>
      </c>
      <c r="D65" s="781" t="e">
        <f>LOOKUP(B65,[2]!Table1[Number],[2]!Table1[Nimi])</f>
        <v>#REF!</v>
      </c>
      <c r="E65" s="781" t="e">
        <f>LOOKUP(B65,[2]!Table1[Number],[2]!Table1[Tee nr])</f>
        <v>#REF!</v>
      </c>
      <c r="F65" s="781" t="e">
        <f>LOOKUP(B65,[2]!Table1[Number],[2]!Table1[Tee nimetus])</f>
        <v>#REF!</v>
      </c>
      <c r="G65" s="781" t="e">
        <f>LOOKUP(B65,[2]!Table1[Number],[2]!Table1[Algus mkaugus])</f>
        <v>#REF!</v>
      </c>
      <c r="H65" s="781" t="e">
        <f>LOOKUP(B65,[2]!Table1[Number],[2]!Table1[Silla pikkus])</f>
        <v>#REF!</v>
      </c>
      <c r="I65" s="782" t="e">
        <f>LOOKUP(B65,[2]!Table1[Number],[2]!Table1[Sõidutee laius sillal])</f>
        <v>#REF!</v>
      </c>
      <c r="J65" s="782" t="e">
        <f>LOOKUP(B65,[2]!Table1[Number],[2]!Table1[Regioon])</f>
        <v>#REF!</v>
      </c>
      <c r="K65" s="783" t="e">
        <f>LOOKUP(B65,[2]!Table1[Number],[2]!Table1[Maakond])</f>
        <v>#REF!</v>
      </c>
      <c r="L65" s="781" t="e">
        <f>LOOKUP(B65,[2]!Table1[Number],[2]!Table1[Aasta keskmine ööp. liiklus])</f>
        <v>#REF!</v>
      </c>
      <c r="M65" s="781" t="e">
        <f>LOOKUP(B65,[2]!Table1[Number],[2]!Table1[Ehitusaasta])</f>
        <v>#REF!</v>
      </c>
      <c r="N65" s="818">
        <v>270000</v>
      </c>
      <c r="O65" s="820"/>
      <c r="P65" s="820"/>
      <c r="Q65" s="820"/>
      <c r="R65" s="818">
        <v>150000</v>
      </c>
      <c r="S65" s="820">
        <v>120000</v>
      </c>
      <c r="T65" s="804">
        <v>2020</v>
      </c>
    </row>
    <row r="66" spans="1:20" x14ac:dyDescent="0.3">
      <c r="A66" s="778" t="e">
        <f>LOOKUP(B66,[2]!Table1[Number],[2]!Table1[Koht])</f>
        <v>#REF!</v>
      </c>
      <c r="B66" s="805">
        <v>1003</v>
      </c>
      <c r="C66" s="780" t="e">
        <f>LOOKUP(B66,[2]!Table1[Number],[2]!Table1[Seisundi indeks])</f>
        <v>#REF!</v>
      </c>
      <c r="D66" s="781" t="e">
        <f>LOOKUP(B66,[2]!Table1[Number],[2]!Table1[Nimi])</f>
        <v>#REF!</v>
      </c>
      <c r="E66" s="781" t="e">
        <f>LOOKUP(B66,[2]!Table1[Number],[2]!Table1[Tee nr])</f>
        <v>#REF!</v>
      </c>
      <c r="F66" s="781" t="e">
        <f>LOOKUP(B66,[2]!Table1[Number],[2]!Table1[Tee nimetus])</f>
        <v>#REF!</v>
      </c>
      <c r="G66" s="781" t="e">
        <f>LOOKUP(B66,[2]!Table1[Number],[2]!Table1[Algus mkaugus])</f>
        <v>#REF!</v>
      </c>
      <c r="H66" s="781" t="e">
        <f>LOOKUP(B66,[2]!Table1[Number],[2]!Table1[Silla pikkus])</f>
        <v>#REF!</v>
      </c>
      <c r="I66" s="782" t="e">
        <f>LOOKUP(B66,[2]!Table1[Number],[2]!Table1[Sõidutee laius sillal])</f>
        <v>#REF!</v>
      </c>
      <c r="J66" s="782" t="e">
        <f>LOOKUP(B66,[2]!Table1[Number],[2]!Table1[Regioon])</f>
        <v>#REF!</v>
      </c>
      <c r="K66" s="783" t="e">
        <f>LOOKUP(B66,[2]!Table1[Number],[2]!Table1[Maakond])</f>
        <v>#REF!</v>
      </c>
      <c r="L66" s="781" t="e">
        <f>LOOKUP(B66,[2]!Table1[Number],[2]!Table1[Aasta keskmine ööp. liiklus])</f>
        <v>#REF!</v>
      </c>
      <c r="M66" s="781" t="e">
        <f>LOOKUP(B66,[2]!Table1[Number],[2]!Table1[Ehitusaasta])</f>
        <v>#REF!</v>
      </c>
      <c r="N66" s="834">
        <v>100000</v>
      </c>
      <c r="O66" s="835"/>
      <c r="P66" s="835"/>
      <c r="Q66" s="835"/>
      <c r="R66" s="835"/>
      <c r="S66" s="834">
        <v>100000</v>
      </c>
      <c r="T66" s="785">
        <v>2020</v>
      </c>
    </row>
    <row r="67" spans="1:20" s="825" customFormat="1" x14ac:dyDescent="0.3">
      <c r="A67" s="778" t="e">
        <f>LOOKUP(B67,[2]!Table1[Number],[2]!Table1[Koht])</f>
        <v>#REF!</v>
      </c>
      <c r="B67" s="805">
        <v>505</v>
      </c>
      <c r="C67" s="780" t="e">
        <f>LOOKUP(B67,[2]!Table1[Number],[2]!Table1[Seisundi indeks])</f>
        <v>#REF!</v>
      </c>
      <c r="D67" s="781" t="e">
        <f>LOOKUP(B67,[2]!Table1[Number],[2]!Table1[Nimi])</f>
        <v>#REF!</v>
      </c>
      <c r="E67" s="781" t="e">
        <f>LOOKUP(B67,[2]!Table1[Number],[2]!Table1[Tee nr])</f>
        <v>#REF!</v>
      </c>
      <c r="F67" s="781" t="e">
        <f>LOOKUP(B67,[2]!Table1[Number],[2]!Table1[Tee nimetus])</f>
        <v>#REF!</v>
      </c>
      <c r="G67" s="781" t="e">
        <f>LOOKUP(B67,[2]!Table1[Number],[2]!Table1[Algus mkaugus])</f>
        <v>#REF!</v>
      </c>
      <c r="H67" s="781" t="e">
        <f>LOOKUP(B67,[2]!Table1[Number],[2]!Table1[Silla pikkus])</f>
        <v>#REF!</v>
      </c>
      <c r="I67" s="782" t="e">
        <f>LOOKUP(B67,[2]!Table1[Number],[2]!Table1[Sõidutee laius sillal])</f>
        <v>#REF!</v>
      </c>
      <c r="J67" s="782" t="e">
        <f>LOOKUP(B67,[2]!Table1[Number],[2]!Table1[Regioon])</f>
        <v>#REF!</v>
      </c>
      <c r="K67" s="783" t="e">
        <f>LOOKUP(B67,[2]!Table1[Number],[2]!Table1[Maakond])</f>
        <v>#REF!</v>
      </c>
      <c r="L67" s="781" t="e">
        <f>LOOKUP(B67,[2]!Table1[Number],[2]!Table1[Aasta keskmine ööp. liiklus])</f>
        <v>#REF!</v>
      </c>
      <c r="M67" s="781" t="e">
        <f>LOOKUP(B67,[2]!Table1[Number],[2]!Table1[Ehitusaasta])</f>
        <v>#REF!</v>
      </c>
      <c r="N67" s="824">
        <v>180000</v>
      </c>
      <c r="O67" s="810"/>
      <c r="P67" s="810"/>
      <c r="Q67" s="810"/>
      <c r="R67" s="810"/>
      <c r="S67" s="824">
        <v>180000</v>
      </c>
      <c r="T67" s="804">
        <v>2020</v>
      </c>
    </row>
    <row r="68" spans="1:20" s="825" customFormat="1" x14ac:dyDescent="0.3">
      <c r="A68" s="778" t="e">
        <f>LOOKUP(B68,[2]!Table1[Number],[2]!Table1[Koht])</f>
        <v>#REF!</v>
      </c>
      <c r="B68" s="805">
        <v>175</v>
      </c>
      <c r="C68" s="780" t="e">
        <f>LOOKUP(B68,[2]!Table1[Number],[2]!Table1[Seisundi indeks])</f>
        <v>#REF!</v>
      </c>
      <c r="D68" s="781" t="e">
        <f>LOOKUP(B68,[2]!Table1[Number],[2]!Table1[Nimi])</f>
        <v>#REF!</v>
      </c>
      <c r="E68" s="781" t="e">
        <f>LOOKUP(B68,[2]!Table1[Number],[2]!Table1[Tee nr])</f>
        <v>#REF!</v>
      </c>
      <c r="F68" s="781" t="e">
        <f>LOOKUP(B68,[2]!Table1[Number],[2]!Table1[Tee nimetus])</f>
        <v>#REF!</v>
      </c>
      <c r="G68" s="781" t="e">
        <f>LOOKUP(B68,[2]!Table1[Number],[2]!Table1[Algus mkaugus])</f>
        <v>#REF!</v>
      </c>
      <c r="H68" s="781" t="e">
        <f>LOOKUP(B68,[2]!Table1[Number],[2]!Table1[Silla pikkus])</f>
        <v>#REF!</v>
      </c>
      <c r="I68" s="782" t="e">
        <f>LOOKUP(B68,[2]!Table1[Number],[2]!Table1[Sõidutee laius sillal])</f>
        <v>#REF!</v>
      </c>
      <c r="J68" s="782" t="e">
        <f>LOOKUP(B68,[2]!Table1[Number],[2]!Table1[Regioon])</f>
        <v>#REF!</v>
      </c>
      <c r="K68" s="783" t="e">
        <f>LOOKUP(B68,[2]!Table1[Number],[2]!Table1[Maakond])</f>
        <v>#REF!</v>
      </c>
      <c r="L68" s="781" t="e">
        <f>LOOKUP(B68,[2]!Table1[Number],[2]!Table1[Aasta keskmine ööp. liiklus])</f>
        <v>#REF!</v>
      </c>
      <c r="M68" s="781" t="e">
        <f>LOOKUP(B68,[2]!Table1[Number],[2]!Table1[Ehitusaasta])</f>
        <v>#REF!</v>
      </c>
      <c r="N68" s="824">
        <v>200000</v>
      </c>
      <c r="O68" s="810"/>
      <c r="P68" s="810"/>
      <c r="Q68" s="833">
        <v>100000</v>
      </c>
      <c r="R68" s="811">
        <v>100000</v>
      </c>
      <c r="S68" s="810"/>
      <c r="T68" s="785">
        <v>2019</v>
      </c>
    </row>
    <row r="69" spans="1:20" x14ac:dyDescent="0.3">
      <c r="A69" s="778" t="e">
        <f>LOOKUP(B69,[2]!Table1[Number],[2]!Table1[Koht])</f>
        <v>#REF!</v>
      </c>
      <c r="B69" s="813">
        <v>755</v>
      </c>
      <c r="C69" s="780" t="e">
        <f>LOOKUP(B69,[2]!Table1[Number],[2]!Table1[Seisundi indeks])</f>
        <v>#REF!</v>
      </c>
      <c r="D69" s="781" t="e">
        <f>LOOKUP(B69,[2]!Table1[Number],[2]!Table1[Nimi])</f>
        <v>#REF!</v>
      </c>
      <c r="E69" s="781" t="e">
        <f>LOOKUP(B69,[2]!Table1[Number],[2]!Table1[Tee nr])</f>
        <v>#REF!</v>
      </c>
      <c r="F69" s="781" t="e">
        <f>LOOKUP(B69,[2]!Table1[Number],[2]!Table1[Tee nimetus])</f>
        <v>#REF!</v>
      </c>
      <c r="G69" s="781" t="e">
        <f>LOOKUP(B69,[2]!Table1[Number],[2]!Table1[Algus mkaugus])</f>
        <v>#REF!</v>
      </c>
      <c r="H69" s="781" t="e">
        <f>LOOKUP(B69,[2]!Table1[Number],[2]!Table1[Silla pikkus])</f>
        <v>#REF!</v>
      </c>
      <c r="I69" s="782" t="e">
        <f>LOOKUP(B69,[2]!Table1[Number],[2]!Table1[Sõidutee laius sillal])</f>
        <v>#REF!</v>
      </c>
      <c r="J69" s="782" t="e">
        <f>LOOKUP(B69,[2]!Table1[Number],[2]!Table1[Regioon])</f>
        <v>#REF!</v>
      </c>
      <c r="K69" s="783" t="e">
        <f>LOOKUP(B69,[2]!Table1[Number],[2]!Table1[Maakond])</f>
        <v>#REF!</v>
      </c>
      <c r="L69" s="781" t="e">
        <f>LOOKUP(B69,[2]!Table1[Number],[2]!Table1[Aasta keskmine ööp. liiklus])</f>
        <v>#REF!</v>
      </c>
      <c r="M69" s="781" t="e">
        <f>LOOKUP(B69,[2]!Table1[Number],[2]!Table1[Ehitusaasta])</f>
        <v>#REF!</v>
      </c>
      <c r="N69" s="814">
        <v>185000</v>
      </c>
      <c r="O69" s="815"/>
      <c r="P69" s="815"/>
      <c r="Q69" s="803">
        <v>185000</v>
      </c>
      <c r="R69" s="815"/>
      <c r="S69" s="815"/>
      <c r="T69" s="812" t="s">
        <v>609</v>
      </c>
    </row>
    <row r="70" spans="1:20" x14ac:dyDescent="0.3">
      <c r="A70" s="778" t="e">
        <f>LOOKUP(B70,[2]!Table1[Number],[2]!Table1[Koht])</f>
        <v>#REF!</v>
      </c>
      <c r="B70" s="805">
        <v>352</v>
      </c>
      <c r="C70" s="780" t="e">
        <f>LOOKUP(B70,[2]!Table1[Number],[2]!Table1[Seisundi indeks])</f>
        <v>#REF!</v>
      </c>
      <c r="D70" s="781" t="e">
        <f>LOOKUP(B70,[2]!Table1[Number],[2]!Table1[Nimi])</f>
        <v>#REF!</v>
      </c>
      <c r="E70" s="781" t="e">
        <f>LOOKUP(B70,[2]!Table1[Number],[2]!Table1[Tee nr])</f>
        <v>#REF!</v>
      </c>
      <c r="F70" s="781" t="e">
        <f>LOOKUP(B70,[2]!Table1[Number],[2]!Table1[Tee nimetus])</f>
        <v>#REF!</v>
      </c>
      <c r="G70" s="781" t="e">
        <f>LOOKUP(B70,[2]!Table1[Number],[2]!Table1[Algus mkaugus])</f>
        <v>#REF!</v>
      </c>
      <c r="H70" s="781" t="e">
        <f>LOOKUP(B70,[2]!Table1[Number],[2]!Table1[Silla pikkus])</f>
        <v>#REF!</v>
      </c>
      <c r="I70" s="782" t="e">
        <f>LOOKUP(B70,[2]!Table1[Number],[2]!Table1[Sõidutee laius sillal])</f>
        <v>#REF!</v>
      </c>
      <c r="J70" s="782" t="e">
        <f>LOOKUP(B70,[2]!Table1[Number],[2]!Table1[Regioon])</f>
        <v>#REF!</v>
      </c>
      <c r="K70" s="783" t="e">
        <f>LOOKUP(B70,[2]!Table1[Number],[2]!Table1[Maakond])</f>
        <v>#REF!</v>
      </c>
      <c r="L70" s="781" t="e">
        <f>LOOKUP(B70,[2]!Table1[Number],[2]!Table1[Aasta keskmine ööp. liiklus])</f>
        <v>#REF!</v>
      </c>
      <c r="M70" s="781" t="e">
        <f>LOOKUP(B70,[2]!Table1[Number],[2]!Table1[Ehitusaasta])</f>
        <v>#REF!</v>
      </c>
      <c r="N70" s="824">
        <v>100000</v>
      </c>
      <c r="O70" s="824"/>
      <c r="P70" s="836">
        <v>100000</v>
      </c>
      <c r="Q70" s="814"/>
      <c r="R70" s="836"/>
      <c r="S70" s="824"/>
      <c r="T70" s="785">
        <v>2020</v>
      </c>
    </row>
    <row r="71" spans="1:20" x14ac:dyDescent="0.3">
      <c r="A71" s="778" t="e">
        <f>LOOKUP(B71,[2]!Table1[Number],[2]!Table1[Koht])</f>
        <v>#REF!</v>
      </c>
      <c r="B71" s="779">
        <v>1076</v>
      </c>
      <c r="C71" s="780" t="e">
        <f>LOOKUP(B71,[2]!Table1[Number],[2]!Table1[Seisundi indeks])</f>
        <v>#REF!</v>
      </c>
      <c r="D71" s="781" t="e">
        <f>LOOKUP(B71,[2]!Table1[Number],[2]!Table1[Nimi])</f>
        <v>#REF!</v>
      </c>
      <c r="E71" s="781" t="e">
        <f>LOOKUP(B71,[2]!Table1[Number],[2]!Table1[Tee nr])</f>
        <v>#REF!</v>
      </c>
      <c r="F71" s="781" t="e">
        <f>LOOKUP(B71,[2]!Table1[Number],[2]!Table1[Tee nimetus])</f>
        <v>#REF!</v>
      </c>
      <c r="G71" s="781" t="e">
        <f>LOOKUP(B71,[2]!Table1[Number],[2]!Table1[Algus mkaugus])</f>
        <v>#REF!</v>
      </c>
      <c r="H71" s="781" t="e">
        <f>LOOKUP(B71,[2]!Table1[Number],[2]!Table1[Silla pikkus])</f>
        <v>#REF!</v>
      </c>
      <c r="I71" s="782" t="e">
        <f>LOOKUP(B71,[2]!Table1[Number],[2]!Table1[Sõidutee laius sillal])</f>
        <v>#REF!</v>
      </c>
      <c r="J71" s="782" t="e">
        <f>LOOKUP(B71,[2]!Table1[Number],[2]!Table1[Regioon])</f>
        <v>#REF!</v>
      </c>
      <c r="K71" s="783" t="e">
        <f>LOOKUP(B71,[2]!Table1[Number],[2]!Table1[Maakond])</f>
        <v>#REF!</v>
      </c>
      <c r="L71" s="781" t="e">
        <f>LOOKUP(B71,[2]!Table1[Number],[2]!Table1[Aasta keskmine ööp. liiklus])</f>
        <v>#REF!</v>
      </c>
      <c r="M71" s="781" t="e">
        <f>LOOKUP(B71,[2]!Table1[Number],[2]!Table1[Ehitusaasta])</f>
        <v>#REF!</v>
      </c>
      <c r="N71" s="818">
        <v>150000</v>
      </c>
      <c r="O71" s="820"/>
      <c r="P71" s="820"/>
      <c r="Q71" s="803">
        <v>150000</v>
      </c>
      <c r="R71" s="820"/>
      <c r="S71" s="820"/>
      <c r="T71" s="812" t="s">
        <v>609</v>
      </c>
    </row>
    <row r="72" spans="1:20" x14ac:dyDescent="0.3">
      <c r="A72" s="778" t="e">
        <f>LOOKUP(B72,[2]!Table1[Number],[2]!Table1[Koht])</f>
        <v>#REF!</v>
      </c>
      <c r="B72" s="805">
        <v>88</v>
      </c>
      <c r="C72" s="780" t="e">
        <f>LOOKUP(B72,[2]!Table1[Number],[2]!Table1[Seisundi indeks])</f>
        <v>#REF!</v>
      </c>
      <c r="D72" s="781" t="e">
        <f>LOOKUP(B72,[2]!Table1[Number],[2]!Table1[Nimi])</f>
        <v>#REF!</v>
      </c>
      <c r="E72" s="781" t="e">
        <f>LOOKUP(B72,[2]!Table1[Number],[2]!Table1[Tee nr])</f>
        <v>#REF!</v>
      </c>
      <c r="F72" s="781" t="e">
        <f>LOOKUP(B72,[2]!Table1[Number],[2]!Table1[Tee nimetus])</f>
        <v>#REF!</v>
      </c>
      <c r="G72" s="781" t="e">
        <f>LOOKUP(B72,[2]!Table1[Number],[2]!Table1[Algus mkaugus])</f>
        <v>#REF!</v>
      </c>
      <c r="H72" s="781" t="e">
        <f>LOOKUP(B72,[2]!Table1[Number],[2]!Table1[Silla pikkus])</f>
        <v>#REF!</v>
      </c>
      <c r="I72" s="782" t="e">
        <f>LOOKUP(B72,[2]!Table1[Number],[2]!Table1[Sõidutee laius sillal])</f>
        <v>#REF!</v>
      </c>
      <c r="J72" s="782" t="e">
        <f>LOOKUP(B72,[2]!Table1[Number],[2]!Table1[Regioon])</f>
        <v>#REF!</v>
      </c>
      <c r="K72" s="783" t="e">
        <f>LOOKUP(B72,[2]!Table1[Number],[2]!Table1[Maakond])</f>
        <v>#REF!</v>
      </c>
      <c r="L72" s="781" t="e">
        <f>LOOKUP(B72,[2]!Table1[Number],[2]!Table1[Aasta keskmine ööp. liiklus])</f>
        <v>#REF!</v>
      </c>
      <c r="M72" s="781" t="e">
        <f>LOOKUP(B72,[2]!Table1[Number],[2]!Table1[Ehitusaasta])</f>
        <v>#REF!</v>
      </c>
      <c r="N72" s="824">
        <v>85000</v>
      </c>
      <c r="O72" s="824"/>
      <c r="P72" s="836"/>
      <c r="Q72" s="814"/>
      <c r="R72" s="824"/>
      <c r="S72" s="824">
        <v>85000</v>
      </c>
      <c r="T72" s="785">
        <v>2018</v>
      </c>
    </row>
    <row r="73" spans="1:20" x14ac:dyDescent="0.3">
      <c r="A73" s="778" t="e">
        <f>LOOKUP(B73,[2]!Table1[Number],[2]!Table1[Koht])</f>
        <v>#REF!</v>
      </c>
      <c r="B73" s="805">
        <v>226</v>
      </c>
      <c r="C73" s="780" t="e">
        <f>LOOKUP(B73,[2]!Table1[Number],[2]!Table1[Seisundi indeks])</f>
        <v>#REF!</v>
      </c>
      <c r="D73" s="781" t="e">
        <f>LOOKUP(B73,[2]!Table1[Number],[2]!Table1[Nimi])</f>
        <v>#REF!</v>
      </c>
      <c r="E73" s="781" t="e">
        <f>LOOKUP(B73,[2]!Table1[Number],[2]!Table1[Tee nr])</f>
        <v>#REF!</v>
      </c>
      <c r="F73" s="781" t="e">
        <f>LOOKUP(B73,[2]!Table1[Number],[2]!Table1[Tee nimetus])</f>
        <v>#REF!</v>
      </c>
      <c r="G73" s="781" t="e">
        <f>LOOKUP(B73,[2]!Table1[Number],[2]!Table1[Algus mkaugus])</f>
        <v>#REF!</v>
      </c>
      <c r="H73" s="781" t="e">
        <f>LOOKUP(B73,[2]!Table1[Number],[2]!Table1[Silla pikkus])</f>
        <v>#REF!</v>
      </c>
      <c r="I73" s="782" t="e">
        <f>LOOKUP(B73,[2]!Table1[Number],[2]!Table1[Sõidutee laius sillal])</f>
        <v>#REF!</v>
      </c>
      <c r="J73" s="782" t="e">
        <f>LOOKUP(B73,[2]!Table1[Number],[2]!Table1[Regioon])</f>
        <v>#REF!</v>
      </c>
      <c r="K73" s="783" t="e">
        <f>LOOKUP(B73,[2]!Table1[Number],[2]!Table1[Maakond])</f>
        <v>#REF!</v>
      </c>
      <c r="L73" s="781" t="e">
        <f>LOOKUP(B73,[2]!Table1[Number],[2]!Table1[Aasta keskmine ööp. liiklus])</f>
        <v>#REF!</v>
      </c>
      <c r="M73" s="781" t="e">
        <f>LOOKUP(B73,[2]!Table1[Number],[2]!Table1[Ehitusaasta])</f>
        <v>#REF!</v>
      </c>
      <c r="N73" s="818">
        <v>425000</v>
      </c>
      <c r="O73" s="802"/>
      <c r="P73" s="802"/>
      <c r="Q73" s="814">
        <v>425000</v>
      </c>
      <c r="R73" s="802"/>
      <c r="S73" s="802"/>
      <c r="T73" s="812" t="s">
        <v>609</v>
      </c>
    </row>
    <row r="74" spans="1:20" ht="16.5" customHeight="1" x14ac:dyDescent="0.3">
      <c r="A74" s="837" t="e">
        <f>LOOKUP(B74,[2]!Table1[Number],[2]!Table1[Koht])</f>
        <v>#REF!</v>
      </c>
      <c r="B74" s="813">
        <v>119</v>
      </c>
      <c r="C74" s="780" t="e">
        <f>LOOKUP(B74,[2]!Table1[Number],[2]!Table1[Seisundi indeks])</f>
        <v>#REF!</v>
      </c>
      <c r="D74" s="781" t="e">
        <f>LOOKUP(B74,[2]!Table1[Number],[2]!Table1[Nimi])</f>
        <v>#REF!</v>
      </c>
      <c r="E74" s="781" t="e">
        <f>LOOKUP(B74,[2]!Table1[Number],[2]!Table1[Tee nr])</f>
        <v>#REF!</v>
      </c>
      <c r="F74" s="781" t="e">
        <f>LOOKUP(B74,[2]!Table1[Number],[2]!Table1[Tee nimetus])</f>
        <v>#REF!</v>
      </c>
      <c r="G74" s="781" t="e">
        <f>LOOKUP(B74,[2]!Table1[Number],[2]!Table1[Algus mkaugus])</f>
        <v>#REF!</v>
      </c>
      <c r="H74" s="781" t="e">
        <f>LOOKUP(B74,[2]!Table1[Number],[2]!Table1[Silla pikkus])</f>
        <v>#REF!</v>
      </c>
      <c r="I74" s="782" t="e">
        <f>LOOKUP(B74,[2]!Table1[Number],[2]!Table1[Sõidutee laius sillal])</f>
        <v>#REF!</v>
      </c>
      <c r="J74" s="782" t="e">
        <f>LOOKUP(B74,[2]!Table1[Number],[2]!Table1[Regioon])</f>
        <v>#REF!</v>
      </c>
      <c r="K74" s="783" t="e">
        <f>LOOKUP(B74,[2]!Table1[Number],[2]!Table1[Maakond])</f>
        <v>#REF!</v>
      </c>
      <c r="L74" s="781" t="e">
        <f>LOOKUP(B74,[2]!Table1[Number],[2]!Table1[Aasta keskmine ööp. liiklus])</f>
        <v>#REF!</v>
      </c>
      <c r="M74" s="781" t="e">
        <f>LOOKUP(B74,[2]!Table1[Number],[2]!Table1[Ehitusaasta])</f>
        <v>#REF!</v>
      </c>
      <c r="N74" s="822">
        <v>163600</v>
      </c>
      <c r="O74" s="822"/>
      <c r="P74" s="822"/>
      <c r="Q74" s="822"/>
      <c r="R74" s="838">
        <v>163600</v>
      </c>
      <c r="S74" s="822"/>
      <c r="T74" s="804">
        <v>2020</v>
      </c>
    </row>
    <row r="75" spans="1:20" x14ac:dyDescent="0.3">
      <c r="A75" s="778" t="e">
        <f>LOOKUP(B75,[2]!Table1[Number],[2]!Table1[Koht])</f>
        <v>#REF!</v>
      </c>
      <c r="B75" s="813">
        <v>1037</v>
      </c>
      <c r="C75" s="780" t="e">
        <f>LOOKUP(B75,[2]!Table1[Number],[2]!Table1[Seisundi indeks])</f>
        <v>#REF!</v>
      </c>
      <c r="D75" s="781" t="e">
        <f>LOOKUP(B75,[2]!Table1[Number],[2]!Table1[Nimi])</f>
        <v>#REF!</v>
      </c>
      <c r="E75" s="781" t="e">
        <f>LOOKUP(B75,[2]!Table1[Number],[2]!Table1[Tee nr])</f>
        <v>#REF!</v>
      </c>
      <c r="F75" s="781" t="e">
        <f>LOOKUP(B75,[2]!Table1[Number],[2]!Table1[Tee nimetus])</f>
        <v>#REF!</v>
      </c>
      <c r="G75" s="781" t="e">
        <f>LOOKUP(B75,[2]!Table1[Number],[2]!Table1[Algus mkaugus])</f>
        <v>#REF!</v>
      </c>
      <c r="H75" s="781" t="e">
        <f>LOOKUP(B75,[2]!Table1[Number],[2]!Table1[Silla pikkus])</f>
        <v>#REF!</v>
      </c>
      <c r="I75" s="782" t="e">
        <f>LOOKUP(B75,[2]!Table1[Number],[2]!Table1[Sõidutee laius sillal])</f>
        <v>#REF!</v>
      </c>
      <c r="J75" s="782" t="e">
        <f>LOOKUP(B75,[2]!Table1[Number],[2]!Table1[Regioon])</f>
        <v>#REF!</v>
      </c>
      <c r="K75" s="783" t="e">
        <f>LOOKUP(B75,[2]!Table1[Number],[2]!Table1[Maakond])</f>
        <v>#REF!</v>
      </c>
      <c r="L75" s="781" t="e">
        <f>LOOKUP(B75,[2]!Table1[Number],[2]!Table1[Aasta keskmine ööp. liiklus])</f>
        <v>#REF!</v>
      </c>
      <c r="M75" s="781" t="e">
        <f>LOOKUP(B75,[2]!Table1[Number],[2]!Table1[Ehitusaasta])</f>
        <v>#REF!</v>
      </c>
      <c r="N75" s="814">
        <v>75000</v>
      </c>
      <c r="O75" s="814"/>
      <c r="P75" s="814"/>
      <c r="Q75" s="814"/>
      <c r="R75" s="829">
        <v>75000</v>
      </c>
      <c r="S75" s="814"/>
      <c r="T75" s="816" t="s">
        <v>609</v>
      </c>
    </row>
    <row r="76" spans="1:20" ht="17.25" customHeight="1" x14ac:dyDescent="0.3">
      <c r="A76" s="837" t="e">
        <f>LOOKUP(B76,[2]!Table1[Number],[2]!Table1[Koht])</f>
        <v>#REF!</v>
      </c>
      <c r="B76" s="813">
        <v>309</v>
      </c>
      <c r="C76" s="780" t="e">
        <f>LOOKUP(B76,[2]!Table1[Number],[2]!Table1[Seisundi indeks])</f>
        <v>#REF!</v>
      </c>
      <c r="D76" s="781" t="e">
        <f>LOOKUP(B76,[2]!Table1[Number],[2]!Table1[Nimi])</f>
        <v>#REF!</v>
      </c>
      <c r="E76" s="781" t="e">
        <f>LOOKUP(B76,[2]!Table1[Number],[2]!Table1[Tee nr])</f>
        <v>#REF!</v>
      </c>
      <c r="F76" s="781" t="e">
        <f>LOOKUP(B76,[2]!Table1[Number],[2]!Table1[Tee nimetus])</f>
        <v>#REF!</v>
      </c>
      <c r="G76" s="781" t="e">
        <f>LOOKUP(B76,[2]!Table1[Number],[2]!Table1[Algus mkaugus])</f>
        <v>#REF!</v>
      </c>
      <c r="H76" s="781" t="e">
        <f>LOOKUP(B76,[2]!Table1[Number],[2]!Table1[Silla pikkus])</f>
        <v>#REF!</v>
      </c>
      <c r="I76" s="782" t="e">
        <f>LOOKUP(B76,[2]!Table1[Number],[2]!Table1[Sõidutee laius sillal])</f>
        <v>#REF!</v>
      </c>
      <c r="J76" s="782" t="e">
        <f>LOOKUP(B76,[2]!Table1[Number],[2]!Table1[Regioon])</f>
        <v>#REF!</v>
      </c>
      <c r="K76" s="783" t="e">
        <f>LOOKUP(B76,[2]!Table1[Number],[2]!Table1[Maakond])</f>
        <v>#REF!</v>
      </c>
      <c r="L76" s="781" t="e">
        <f>LOOKUP(B76,[2]!Table1[Number],[2]!Table1[Aasta keskmine ööp. liiklus])</f>
        <v>#REF!</v>
      </c>
      <c r="M76" s="781" t="e">
        <f>LOOKUP(B76,[2]!Table1[Number],[2]!Table1[Ehitusaasta])</f>
        <v>#REF!</v>
      </c>
      <c r="N76" s="822">
        <v>420000</v>
      </c>
      <c r="O76" s="822"/>
      <c r="P76" s="822"/>
      <c r="Q76" s="822"/>
      <c r="R76" s="822">
        <v>220000</v>
      </c>
      <c r="S76" s="822">
        <v>200000</v>
      </c>
      <c r="T76" s="804">
        <v>2020</v>
      </c>
    </row>
    <row r="77" spans="1:20" x14ac:dyDescent="0.3">
      <c r="A77" s="778" t="e">
        <f>LOOKUP(B77,[2]!Table1[Number],[2]!Table1[Koht])</f>
        <v>#REF!</v>
      </c>
      <c r="B77" s="779">
        <v>984</v>
      </c>
      <c r="C77" s="780" t="e">
        <f>LOOKUP(B77,[2]!Table1[Number],[2]!Table1[Seisundi indeks])</f>
        <v>#REF!</v>
      </c>
      <c r="D77" s="781" t="e">
        <f>LOOKUP(B77,[2]!Table1[Number],[2]!Table1[Nimi])</f>
        <v>#REF!</v>
      </c>
      <c r="E77" s="781" t="e">
        <f>LOOKUP(B77,[2]!Table1[Number],[2]!Table1[Tee nr])</f>
        <v>#REF!</v>
      </c>
      <c r="F77" s="781" t="e">
        <f>LOOKUP(B77,[2]!Table1[Number],[2]!Table1[Tee nimetus])</f>
        <v>#REF!</v>
      </c>
      <c r="G77" s="781" t="e">
        <f>LOOKUP(B77,[2]!Table1[Number],[2]!Table1[Algus mkaugus])</f>
        <v>#REF!</v>
      </c>
      <c r="H77" s="781" t="e">
        <f>LOOKUP(B77,[2]!Table1[Number],[2]!Table1[Silla pikkus])</f>
        <v>#REF!</v>
      </c>
      <c r="I77" s="782" t="e">
        <f>LOOKUP(B77,[2]!Table1[Number],[2]!Table1[Sõidutee laius sillal])</f>
        <v>#REF!</v>
      </c>
      <c r="J77" s="782" t="e">
        <f>LOOKUP(B77,[2]!Table1[Number],[2]!Table1[Regioon])</f>
        <v>#REF!</v>
      </c>
      <c r="K77" s="783" t="e">
        <f>LOOKUP(B77,[2]!Table1[Number],[2]!Table1[Maakond])</f>
        <v>#REF!</v>
      </c>
      <c r="L77" s="781" t="e">
        <f>LOOKUP(B77,[2]!Table1[Number],[2]!Table1[Aasta keskmine ööp. liiklus])</f>
        <v>#REF!</v>
      </c>
      <c r="M77" s="781" t="e">
        <f>LOOKUP(B77,[2]!Table1[Number],[2]!Table1[Ehitusaasta])</f>
        <v>#REF!</v>
      </c>
      <c r="N77" s="827">
        <v>65000</v>
      </c>
      <c r="O77" s="827"/>
      <c r="P77" s="827"/>
      <c r="Q77" s="827"/>
      <c r="R77" s="839">
        <v>65000</v>
      </c>
      <c r="S77" s="827"/>
      <c r="T77" s="804" t="s">
        <v>610</v>
      </c>
    </row>
    <row r="78" spans="1:20" x14ac:dyDescent="0.3">
      <c r="A78" s="778" t="e">
        <f>LOOKUP(B78,[2]!Table1[Number],[2]!Table1[Koht])</f>
        <v>#REF!</v>
      </c>
      <c r="B78" s="779">
        <v>859</v>
      </c>
      <c r="C78" s="780" t="e">
        <f>LOOKUP(B78,[2]!Table1[Number],[2]!Table1[Seisundi indeks])</f>
        <v>#REF!</v>
      </c>
      <c r="D78" s="781" t="e">
        <f>LOOKUP(B78,[2]!Table1[Number],[2]!Table1[Nimi])</f>
        <v>#REF!</v>
      </c>
      <c r="E78" s="781" t="e">
        <f>LOOKUP(B78,[2]!Table1[Number],[2]!Table1[Tee nr])</f>
        <v>#REF!</v>
      </c>
      <c r="F78" s="781" t="e">
        <f>LOOKUP(B78,[2]!Table1[Number],[2]!Table1[Tee nimetus])</f>
        <v>#REF!</v>
      </c>
      <c r="G78" s="781" t="e">
        <f>LOOKUP(B78,[2]!Table1[Number],[2]!Table1[Algus mkaugus])</f>
        <v>#REF!</v>
      </c>
      <c r="H78" s="781" t="e">
        <f>LOOKUP(B78,[2]!Table1[Number],[2]!Table1[Silla pikkus])</f>
        <v>#REF!</v>
      </c>
      <c r="I78" s="782" t="e">
        <f>LOOKUP(B78,[2]!Table1[Number],[2]!Table1[Sõidutee laius sillal])</f>
        <v>#REF!</v>
      </c>
      <c r="J78" s="782" t="e">
        <f>LOOKUP(B78,[2]!Table1[Number],[2]!Table1[Regioon])</f>
        <v>#REF!</v>
      </c>
      <c r="K78" s="783" t="e">
        <f>LOOKUP(B78,[2]!Table1[Number],[2]!Table1[Maakond])</f>
        <v>#REF!</v>
      </c>
      <c r="L78" s="781" t="e">
        <f>LOOKUP(B78,[2]!Table1[Number],[2]!Table1[Aasta keskmine ööp. liiklus])</f>
        <v>#REF!</v>
      </c>
      <c r="M78" s="781" t="e">
        <f>LOOKUP(B78,[2]!Table1[Number],[2]!Table1[Ehitusaasta])</f>
        <v>#REF!</v>
      </c>
      <c r="N78" s="784">
        <v>130000</v>
      </c>
      <c r="O78" s="784"/>
      <c r="P78" s="784"/>
      <c r="Q78" s="833">
        <v>130000</v>
      </c>
      <c r="R78" s="784"/>
      <c r="S78" s="784"/>
      <c r="T78" s="804">
        <v>2019</v>
      </c>
    </row>
    <row r="79" spans="1:20" ht="18" customHeight="1" x14ac:dyDescent="0.3">
      <c r="A79" s="778" t="e">
        <f>LOOKUP(B79,[2]!Table1[Number],[2]!Table1[Koht])</f>
        <v>#REF!</v>
      </c>
      <c r="B79" s="805">
        <v>409</v>
      </c>
      <c r="C79" s="780" t="e">
        <f>LOOKUP(B79,[2]!Table1[Number],[2]!Table1[Seisundi indeks])</f>
        <v>#REF!</v>
      </c>
      <c r="D79" s="781" t="e">
        <f>LOOKUP(B79,[2]!Table1[Number],[2]!Table1[Nimi])</f>
        <v>#REF!</v>
      </c>
      <c r="E79" s="781" t="e">
        <f>LOOKUP(B79,[2]!Table1[Number],[2]!Table1[Tee nr])</f>
        <v>#REF!</v>
      </c>
      <c r="F79" s="781" t="e">
        <f>LOOKUP(B79,[2]!Table1[Number],[2]!Table1[Tee nimetus])</f>
        <v>#REF!</v>
      </c>
      <c r="G79" s="781" t="e">
        <f>LOOKUP(B79,[2]!Table1[Number],[2]!Table1[Algus mkaugus])</f>
        <v>#REF!</v>
      </c>
      <c r="H79" s="781" t="e">
        <f>LOOKUP(B79,[2]!Table1[Number],[2]!Table1[Silla pikkus])</f>
        <v>#REF!</v>
      </c>
      <c r="I79" s="782" t="e">
        <f>LOOKUP(B79,[2]!Table1[Number],[2]!Table1[Sõidutee laius sillal])</f>
        <v>#REF!</v>
      </c>
      <c r="J79" s="782" t="e">
        <f>LOOKUP(B79,[2]!Table1[Number],[2]!Table1[Regioon])</f>
        <v>#REF!</v>
      </c>
      <c r="K79" s="783" t="e">
        <f>LOOKUP(B79,[2]!Table1[Number],[2]!Table1[Maakond])</f>
        <v>#REF!</v>
      </c>
      <c r="L79" s="781" t="e">
        <f>LOOKUP(B79,[2]!Table1[Number],[2]!Table1[Aasta keskmine ööp. liiklus])</f>
        <v>#REF!</v>
      </c>
      <c r="M79" s="781" t="e">
        <f>LOOKUP(B79,[2]!Table1[Number],[2]!Table1[Ehitusaasta])</f>
        <v>#REF!</v>
      </c>
      <c r="N79" s="818">
        <v>152000</v>
      </c>
      <c r="O79" s="820"/>
      <c r="P79" s="820"/>
      <c r="Q79" s="820"/>
      <c r="R79" s="832">
        <v>152000</v>
      </c>
      <c r="S79" s="818"/>
      <c r="T79" s="785">
        <v>2019</v>
      </c>
    </row>
    <row r="80" spans="1:20" ht="15.75" customHeight="1" x14ac:dyDescent="0.3">
      <c r="A80" s="778" t="e">
        <f>LOOKUP(B80,[2]!Table1[Number],[2]!Table1[Koht])</f>
        <v>#REF!</v>
      </c>
      <c r="B80" s="813">
        <v>848</v>
      </c>
      <c r="C80" s="780" t="e">
        <f>LOOKUP(B80,[2]!Table1[Number],[2]!Table1[Seisundi indeks])</f>
        <v>#REF!</v>
      </c>
      <c r="D80" s="781" t="e">
        <f>LOOKUP(B80,[2]!Table1[Number],[2]!Table1[Nimi])</f>
        <v>#REF!</v>
      </c>
      <c r="E80" s="781" t="e">
        <f>LOOKUP(B80,[2]!Table1[Number],[2]!Table1[Tee nr])</f>
        <v>#REF!</v>
      </c>
      <c r="F80" s="781" t="e">
        <f>LOOKUP(B80,[2]!Table1[Number],[2]!Table1[Tee nimetus])</f>
        <v>#REF!</v>
      </c>
      <c r="G80" s="781" t="e">
        <f>LOOKUP(B80,[2]!Table1[Number],[2]!Table1[Algus mkaugus])</f>
        <v>#REF!</v>
      </c>
      <c r="H80" s="781" t="e">
        <f>LOOKUP(B80,[2]!Table1[Number],[2]!Table1[Silla pikkus])</f>
        <v>#REF!</v>
      </c>
      <c r="I80" s="782" t="e">
        <f>LOOKUP(B80,[2]!Table1[Number],[2]!Table1[Sõidutee laius sillal])</f>
        <v>#REF!</v>
      </c>
      <c r="J80" s="782" t="e">
        <f>LOOKUP(B80,[2]!Table1[Number],[2]!Table1[Regioon])</f>
        <v>#REF!</v>
      </c>
      <c r="K80" s="783" t="e">
        <f>LOOKUP(B80,[2]!Table1[Number],[2]!Table1[Maakond])</f>
        <v>#REF!</v>
      </c>
      <c r="L80" s="781" t="e">
        <f>LOOKUP(B80,[2]!Table1[Number],[2]!Table1[Aasta keskmine ööp. liiklus])</f>
        <v>#REF!</v>
      </c>
      <c r="M80" s="781" t="e">
        <f>LOOKUP(B80,[2]!Table1[Number],[2]!Table1[Ehitusaasta])</f>
        <v>#REF!</v>
      </c>
      <c r="N80" s="814">
        <v>222000</v>
      </c>
      <c r="O80" s="815"/>
      <c r="P80" s="815"/>
      <c r="Q80" s="815"/>
      <c r="R80" s="814">
        <v>222000</v>
      </c>
      <c r="S80" s="815"/>
      <c r="T80" s="785">
        <v>2020</v>
      </c>
    </row>
    <row r="81" spans="1:23" x14ac:dyDescent="0.3">
      <c r="A81" s="778" t="e">
        <f>LOOKUP(B81,[2]!Table1[Number],[2]!Table1[Koht])</f>
        <v>#REF!</v>
      </c>
      <c r="B81" s="805">
        <v>1008</v>
      </c>
      <c r="C81" s="780" t="e">
        <f>LOOKUP(B81,[2]!Table1[Number],[2]!Table1[Seisundi indeks])</f>
        <v>#REF!</v>
      </c>
      <c r="D81" s="781" t="e">
        <f>LOOKUP(B81,[2]!Table1[Number],[2]!Table1[Nimi])</f>
        <v>#REF!</v>
      </c>
      <c r="E81" s="781" t="e">
        <f>LOOKUP(B81,[2]!Table1[Number],[2]!Table1[Tee nr])</f>
        <v>#REF!</v>
      </c>
      <c r="F81" s="781" t="e">
        <f>LOOKUP(B81,[2]!Table1[Number],[2]!Table1[Tee nimetus])</f>
        <v>#REF!</v>
      </c>
      <c r="G81" s="781" t="e">
        <f>LOOKUP(B81,[2]!Table1[Number],[2]!Table1[Algus mkaugus])</f>
        <v>#REF!</v>
      </c>
      <c r="H81" s="781" t="e">
        <f>LOOKUP(B81,[2]!Table1[Number],[2]!Table1[Silla pikkus])</f>
        <v>#REF!</v>
      </c>
      <c r="I81" s="782" t="e">
        <f>LOOKUP(B81,[2]!Table1[Number],[2]!Table1[Sõidutee laius sillal])</f>
        <v>#REF!</v>
      </c>
      <c r="J81" s="782" t="e">
        <f>LOOKUP(B81,[2]!Table1[Number],[2]!Table1[Regioon])</f>
        <v>#REF!</v>
      </c>
      <c r="K81" s="783" t="e">
        <f>LOOKUP(B81,[2]!Table1[Number],[2]!Table1[Maakond])</f>
        <v>#REF!</v>
      </c>
      <c r="L81" s="781" t="e">
        <f>LOOKUP(B81,[2]!Table1[Number],[2]!Table1[Aasta keskmine ööp. liiklus])</f>
        <v>#REF!</v>
      </c>
      <c r="M81" s="781" t="e">
        <f>LOOKUP(B81,[2]!Table1[Number],[2]!Table1[Ehitusaasta])</f>
        <v>#REF!</v>
      </c>
      <c r="N81" s="831">
        <v>250000</v>
      </c>
      <c r="O81" s="831"/>
      <c r="P81" s="831"/>
      <c r="Q81" s="803">
        <v>250000</v>
      </c>
      <c r="R81" s="831"/>
      <c r="S81" s="831"/>
      <c r="T81" s="785">
        <v>2019</v>
      </c>
    </row>
    <row r="82" spans="1:23" x14ac:dyDescent="0.3">
      <c r="A82" s="778" t="e">
        <f>LOOKUP(B82,[2]!Table1[Number],[2]!Table1[Koht])</f>
        <v>#REF!</v>
      </c>
      <c r="B82" s="813">
        <v>701</v>
      </c>
      <c r="C82" s="780" t="e">
        <f>LOOKUP(B82,[2]!Table1[Number],[2]!Table1[Seisundi indeks])</f>
        <v>#REF!</v>
      </c>
      <c r="D82" s="781" t="e">
        <f>LOOKUP(B82,[2]!Table1[Number],[2]!Table1[Nimi])</f>
        <v>#REF!</v>
      </c>
      <c r="E82" s="781" t="e">
        <f>LOOKUP(B82,[2]!Table1[Number],[2]!Table1[Tee nr])</f>
        <v>#REF!</v>
      </c>
      <c r="F82" s="781" t="e">
        <f>LOOKUP(B82,[2]!Table1[Number],[2]!Table1[Tee nimetus])</f>
        <v>#REF!</v>
      </c>
      <c r="G82" s="781" t="e">
        <f>LOOKUP(B82,[2]!Table1[Number],[2]!Table1[Algus mkaugus])</f>
        <v>#REF!</v>
      </c>
      <c r="H82" s="781" t="e">
        <f>LOOKUP(B82,[2]!Table1[Number],[2]!Table1[Silla pikkus])</f>
        <v>#REF!</v>
      </c>
      <c r="I82" s="782" t="e">
        <f>LOOKUP(B82,[2]!Table1[Number],[2]!Table1[Sõidutee laius sillal])</f>
        <v>#REF!</v>
      </c>
      <c r="J82" s="782" t="e">
        <f>LOOKUP(B82,[2]!Table1[Number],[2]!Table1[Regioon])</f>
        <v>#REF!</v>
      </c>
      <c r="K82" s="783" t="e">
        <f>LOOKUP(B82,[2]!Table1[Number],[2]!Table1[Maakond])</f>
        <v>#REF!</v>
      </c>
      <c r="L82" s="781" t="e">
        <f>LOOKUP(B82,[2]!Table1[Number],[2]!Table1[Aasta keskmine ööp. liiklus])</f>
        <v>#REF!</v>
      </c>
      <c r="M82" s="781" t="e">
        <f>LOOKUP(B82,[2]!Table1[Number],[2]!Table1[Ehitusaasta])</f>
        <v>#REF!</v>
      </c>
      <c r="N82" s="814">
        <v>50000</v>
      </c>
      <c r="O82" s="815"/>
      <c r="P82" s="815"/>
      <c r="Q82" s="815"/>
      <c r="R82" s="829">
        <v>50000</v>
      </c>
      <c r="S82" s="815"/>
      <c r="T82" s="785">
        <v>2020</v>
      </c>
    </row>
    <row r="83" spans="1:23" ht="15.75" customHeight="1" x14ac:dyDescent="0.3">
      <c r="A83" s="840"/>
      <c r="B83" s="841"/>
      <c r="C83" s="842"/>
      <c r="D83" s="842" t="s">
        <v>611</v>
      </c>
      <c r="E83" s="843"/>
      <c r="F83" s="844"/>
      <c r="G83" s="843"/>
      <c r="H83" s="843"/>
      <c r="I83" s="845"/>
      <c r="J83" s="845"/>
      <c r="K83" s="846"/>
      <c r="L83" s="843"/>
      <c r="M83" s="843"/>
      <c r="N83" s="847">
        <v>480000</v>
      </c>
      <c r="O83" s="847"/>
      <c r="P83" s="847">
        <v>480000</v>
      </c>
      <c r="Q83" s="847">
        <v>480000</v>
      </c>
      <c r="R83" s="847">
        <v>480000</v>
      </c>
      <c r="S83" s="847">
        <v>480000</v>
      </c>
      <c r="T83" s="848"/>
    </row>
    <row r="84" spans="1:23" ht="15" customHeight="1" x14ac:dyDescent="0.3">
      <c r="A84" s="840"/>
      <c r="B84" s="841"/>
      <c r="C84" s="842"/>
      <c r="D84" s="842" t="s">
        <v>612</v>
      </c>
      <c r="E84" s="843"/>
      <c r="F84" s="844"/>
      <c r="G84" s="843"/>
      <c r="H84" s="843"/>
      <c r="I84" s="845"/>
      <c r="J84" s="845"/>
      <c r="K84" s="846"/>
      <c r="L84" s="843"/>
      <c r="M84" s="843"/>
      <c r="N84" s="847">
        <v>520000</v>
      </c>
      <c r="O84" s="847"/>
      <c r="P84" s="847">
        <v>520000</v>
      </c>
      <c r="Q84" s="847">
        <v>520000</v>
      </c>
      <c r="R84" s="847">
        <v>520000</v>
      </c>
      <c r="S84" s="847">
        <v>520000</v>
      </c>
      <c r="T84" s="848"/>
    </row>
    <row r="85" spans="1:23" ht="13.5" customHeight="1" thickBot="1" x14ac:dyDescent="0.35">
      <c r="A85" s="840"/>
      <c r="B85" s="841"/>
      <c r="C85" s="842"/>
      <c r="D85" s="842" t="s">
        <v>613</v>
      </c>
      <c r="E85" s="843"/>
      <c r="F85" s="844"/>
      <c r="G85" s="843"/>
      <c r="H85" s="843"/>
      <c r="I85" s="845"/>
      <c r="J85" s="845"/>
      <c r="K85" s="846"/>
      <c r="L85" s="843"/>
      <c r="M85" s="843"/>
      <c r="N85" s="847">
        <v>581628</v>
      </c>
      <c r="O85" s="847"/>
      <c r="P85" s="849">
        <v>581628</v>
      </c>
      <c r="Q85" s="849">
        <v>581628</v>
      </c>
      <c r="R85" s="849">
        <v>581628</v>
      </c>
      <c r="S85" s="849">
        <v>581628</v>
      </c>
      <c r="T85" s="848"/>
    </row>
    <row r="86" spans="1:23" ht="14.25" customHeight="1" thickBot="1" x14ac:dyDescent="0.4">
      <c r="A86" s="850"/>
      <c r="B86" s="851"/>
      <c r="C86" s="852"/>
      <c r="D86" s="852"/>
      <c r="E86" s="853"/>
      <c r="F86" s="854"/>
      <c r="G86" s="853"/>
      <c r="H86" s="853"/>
      <c r="I86" s="855"/>
      <c r="J86" s="855"/>
      <c r="K86" s="856"/>
      <c r="L86" s="853"/>
      <c r="M86" s="853"/>
      <c r="N86" s="857"/>
      <c r="O86" s="858">
        <f>SUM(O3:O85)</f>
        <v>476052</v>
      </c>
      <c r="P86" s="859">
        <f>SUM(P3:P85)</f>
        <v>5074228</v>
      </c>
      <c r="Q86" s="859">
        <f>SUM(Q7:Q85)</f>
        <v>5064628</v>
      </c>
      <c r="R86" s="859">
        <f>SUM(R7:R85)</f>
        <v>5037228</v>
      </c>
      <c r="S86" s="859">
        <f>SUM(S7:S85)</f>
        <v>5032628</v>
      </c>
      <c r="T86" s="860"/>
      <c r="U86" s="861"/>
      <c r="W86" s="861"/>
    </row>
    <row r="87" spans="1:23" ht="18.75" customHeight="1" x14ac:dyDescent="0.3">
      <c r="A87" s="862"/>
      <c r="B87" s="863"/>
      <c r="C87" s="864"/>
      <c r="D87" s="864"/>
      <c r="E87" s="865" t="s">
        <v>614</v>
      </c>
      <c r="F87" s="866"/>
      <c r="G87" s="867"/>
      <c r="H87" s="867"/>
      <c r="I87" s="868"/>
      <c r="J87" s="868"/>
      <c r="K87" s="869"/>
      <c r="L87" s="867"/>
      <c r="M87" s="867"/>
      <c r="N87" s="870"/>
      <c r="O87" s="871"/>
      <c r="P87" s="871"/>
      <c r="Q87" s="871"/>
      <c r="R87" s="871"/>
      <c r="S87" s="871"/>
      <c r="T87" s="872"/>
    </row>
    <row r="88" spans="1:23" ht="16.5" customHeight="1" x14ac:dyDescent="0.3">
      <c r="A88" s="873" t="e">
        <f>LOOKUP(B88,[2]!Table1[Number],[2]!Table1[Koht])</f>
        <v>#REF!</v>
      </c>
      <c r="B88" s="874">
        <v>524</v>
      </c>
      <c r="C88" s="780" t="e">
        <f>LOOKUP(B88,[2]!Table1[Number],[2]!Table1[Seisundi indeks])</f>
        <v>#REF!</v>
      </c>
      <c r="D88" s="781" t="e">
        <f>LOOKUP(B88,[2]!Table1[Number],[2]!Table1[Nimi])</f>
        <v>#REF!</v>
      </c>
      <c r="E88" s="781" t="e">
        <f>LOOKUP(B88,[2]!Table1[Number],[2]!Table1[Tee nr])</f>
        <v>#REF!</v>
      </c>
      <c r="F88" s="781" t="e">
        <f>LOOKUP(B88,[2]!Table1[Number],[2]!Table1[Tee nimetus])</f>
        <v>#REF!</v>
      </c>
      <c r="G88" s="781" t="e">
        <f>LOOKUP(B88,[2]!Table1[Number],[2]!Table1[Algus mkaugus])</f>
        <v>#REF!</v>
      </c>
      <c r="H88" s="781" t="e">
        <f>LOOKUP(B88,[2]!Table1[Number],[2]!Table1[Silla pikkus])</f>
        <v>#REF!</v>
      </c>
      <c r="I88" s="782" t="e">
        <f>LOOKUP(B88,[2]!Table1[Number],[2]!Table1[Sõidutee laius sillal])</f>
        <v>#REF!</v>
      </c>
      <c r="J88" s="782" t="e">
        <f>LOOKUP(B88,[2]!Table1[Number],[2]!Table1[Regioon])</f>
        <v>#REF!</v>
      </c>
      <c r="K88" s="783" t="e">
        <f>LOOKUP(B88,[2]!Table1[Number],[2]!Table1[Maakond])</f>
        <v>#REF!</v>
      </c>
      <c r="L88" s="781" t="e">
        <f>LOOKUP(B88,[2]!Table1[Number],[2]!Table1[Aasta keskmine ööp. liiklus])</f>
        <v>#REF!</v>
      </c>
      <c r="M88" s="781" t="e">
        <f>LOOKUP(B88,[2]!Table1[Number],[2]!Table1[Ehitusaasta])</f>
        <v>#REF!</v>
      </c>
      <c r="N88" s="818">
        <v>279996</v>
      </c>
      <c r="O88" s="802"/>
      <c r="P88" s="802">
        <v>279996</v>
      </c>
      <c r="Q88" s="802"/>
      <c r="R88" s="802"/>
      <c r="S88" s="802"/>
      <c r="T88" s="785">
        <v>2017</v>
      </c>
    </row>
    <row r="89" spans="1:23" x14ac:dyDescent="0.3">
      <c r="A89" s="873" t="e">
        <f>LOOKUP(B89,[2]!Table1[Number],[2]!Table1[Koht])</f>
        <v>#REF!</v>
      </c>
      <c r="B89" s="874">
        <v>648</v>
      </c>
      <c r="C89" s="780" t="e">
        <f>LOOKUP(B89,[2]!Table1[Number],[2]!Table1[Seisundi indeks])</f>
        <v>#REF!</v>
      </c>
      <c r="D89" s="781" t="e">
        <f>LOOKUP(B89,[2]!Table1[Number],[2]!Table1[Nimi])</f>
        <v>#REF!</v>
      </c>
      <c r="E89" s="781" t="e">
        <f>LOOKUP(B89,[2]!Table1[Number],[2]!Table1[Tee nr])</f>
        <v>#REF!</v>
      </c>
      <c r="F89" s="781" t="e">
        <f>LOOKUP(B89,[2]!Table1[Number],[2]!Table1[Tee nimetus])</f>
        <v>#REF!</v>
      </c>
      <c r="G89" s="781" t="e">
        <f>LOOKUP(B89,[2]!Table1[Number],[2]!Table1[Algus mkaugus])</f>
        <v>#REF!</v>
      </c>
      <c r="H89" s="781" t="e">
        <f>LOOKUP(B89,[2]!Table1[Number],[2]!Table1[Silla pikkus])</f>
        <v>#REF!</v>
      </c>
      <c r="I89" s="782" t="e">
        <f>LOOKUP(B89,[2]!Table1[Number],[2]!Table1[Sõidutee laius sillal])</f>
        <v>#REF!</v>
      </c>
      <c r="J89" s="782" t="e">
        <f>LOOKUP(B89,[2]!Table1[Number],[2]!Table1[Regioon])</f>
        <v>#REF!</v>
      </c>
      <c r="K89" s="783" t="e">
        <f>LOOKUP(B89,[2]!Table1[Number],[2]!Table1[Maakond])</f>
        <v>#REF!</v>
      </c>
      <c r="L89" s="781" t="e">
        <f>LOOKUP(B89,[2]!Table1[Number],[2]!Table1[Aasta keskmine ööp. liiklus])</f>
        <v>#REF!</v>
      </c>
      <c r="M89" s="781" t="e">
        <f>LOOKUP(B89,[2]!Table1[Number],[2]!Table1[Ehitusaasta])</f>
        <v>#REF!</v>
      </c>
      <c r="N89" s="802">
        <v>63452.4</v>
      </c>
      <c r="O89" s="802"/>
      <c r="P89" s="802">
        <v>63452</v>
      </c>
      <c r="Q89" s="802"/>
      <c r="R89" s="802"/>
      <c r="S89" s="802"/>
      <c r="T89" s="785" t="s">
        <v>609</v>
      </c>
    </row>
    <row r="90" spans="1:23" ht="15.75" customHeight="1" x14ac:dyDescent="0.3">
      <c r="A90" s="873" t="e">
        <f>LOOKUP(B90,[2]!Table1[Number],[2]!Table1[Koht])</f>
        <v>#REF!</v>
      </c>
      <c r="B90" s="874">
        <v>103</v>
      </c>
      <c r="C90" s="780" t="e">
        <f>LOOKUP(B90,[2]!Table1[Number],[2]!Table1[Seisundi indeks])</f>
        <v>#REF!</v>
      </c>
      <c r="D90" s="781" t="e">
        <f>LOOKUP(B90,[2]!Table1[Number],[2]!Table1[Nimi])</f>
        <v>#REF!</v>
      </c>
      <c r="E90" s="781" t="e">
        <f>LOOKUP(B90,[2]!Table1[Number],[2]!Table1[Tee nr])</f>
        <v>#REF!</v>
      </c>
      <c r="F90" s="781" t="e">
        <f>LOOKUP(B90,[2]!Table1[Number],[2]!Table1[Tee nimetus])</f>
        <v>#REF!</v>
      </c>
      <c r="G90" s="781" t="e">
        <f>LOOKUP(B90,[2]!Table1[Number],[2]!Table1[Algus mkaugus])</f>
        <v>#REF!</v>
      </c>
      <c r="H90" s="781" t="e">
        <f>LOOKUP(B90,[2]!Table1[Number],[2]!Table1[Silla pikkus])</f>
        <v>#REF!</v>
      </c>
      <c r="I90" s="782" t="e">
        <f>LOOKUP(B90,[2]!Table1[Number],[2]!Table1[Sõidutee laius sillal])</f>
        <v>#REF!</v>
      </c>
      <c r="J90" s="782" t="e">
        <f>LOOKUP(B90,[2]!Table1[Number],[2]!Table1[Regioon])</f>
        <v>#REF!</v>
      </c>
      <c r="K90" s="783" t="e">
        <f>LOOKUP(B90,[2]!Table1[Number],[2]!Table1[Maakond])</f>
        <v>#REF!</v>
      </c>
      <c r="L90" s="781" t="e">
        <f>LOOKUP(B90,[2]!Table1[Number],[2]!Table1[Aasta keskmine ööp. liiklus])</f>
        <v>#REF!</v>
      </c>
      <c r="M90" s="781" t="e">
        <f>LOOKUP(B90,[2]!Table1[Number],[2]!Table1[Ehitusaasta])</f>
        <v>#REF!</v>
      </c>
      <c r="N90" s="802">
        <v>6648</v>
      </c>
      <c r="O90" s="802"/>
      <c r="P90" s="802">
        <v>6648</v>
      </c>
      <c r="Q90" s="802"/>
      <c r="R90" s="802"/>
      <c r="S90" s="802"/>
      <c r="T90" s="785" t="s">
        <v>609</v>
      </c>
    </row>
    <row r="91" spans="1:23" x14ac:dyDescent="0.3">
      <c r="A91" s="873" t="e">
        <f>LOOKUP(B91,[2]!Table1[Number],[2]!Table1[Koht])</f>
        <v>#REF!</v>
      </c>
      <c r="B91" s="874">
        <v>1014</v>
      </c>
      <c r="C91" s="780" t="e">
        <f>LOOKUP(B91,[2]!Table1[Number],[2]!Table1[Seisundi indeks])</f>
        <v>#REF!</v>
      </c>
      <c r="D91" s="781" t="e">
        <f>LOOKUP(B91,[2]!Table1[Number],[2]!Table1[Nimi])</f>
        <v>#REF!</v>
      </c>
      <c r="E91" s="781" t="e">
        <f>LOOKUP(B91,[2]!Table1[Number],[2]!Table1[Tee nr])</f>
        <v>#REF!</v>
      </c>
      <c r="F91" s="781" t="e">
        <f>LOOKUP(B91,[2]!Table1[Number],[2]!Table1[Tee nimetus])</f>
        <v>#REF!</v>
      </c>
      <c r="G91" s="781" t="e">
        <f>LOOKUP(B91,[2]!Table1[Number],[2]!Table1[Algus mkaugus])</f>
        <v>#REF!</v>
      </c>
      <c r="H91" s="781" t="e">
        <f>LOOKUP(B91,[2]!Table1[Number],[2]!Table1[Silla pikkus])</f>
        <v>#REF!</v>
      </c>
      <c r="I91" s="782" t="e">
        <f>LOOKUP(B91,[2]!Table1[Number],[2]!Table1[Sõidutee laius sillal])</f>
        <v>#REF!</v>
      </c>
      <c r="J91" s="782" t="e">
        <f>LOOKUP(B91,[2]!Table1[Number],[2]!Table1[Regioon])</f>
        <v>#REF!</v>
      </c>
      <c r="K91" s="783" t="e">
        <f>LOOKUP(B91,[2]!Table1[Number],[2]!Table1[Maakond])</f>
        <v>#REF!</v>
      </c>
      <c r="L91" s="781" t="e">
        <f>LOOKUP(B91,[2]!Table1[Number],[2]!Table1[Aasta keskmine ööp. liiklus])</f>
        <v>#REF!</v>
      </c>
      <c r="M91" s="781" t="e">
        <f>LOOKUP(B91,[2]!Table1[Number],[2]!Table1[Ehitusaasta])</f>
        <v>#REF!</v>
      </c>
      <c r="N91" s="802">
        <v>233116.79999999999</v>
      </c>
      <c r="O91" s="802"/>
      <c r="P91" s="802">
        <v>233117</v>
      </c>
      <c r="Q91" s="802"/>
      <c r="R91" s="802"/>
      <c r="S91" s="802"/>
      <c r="T91" s="785" t="s">
        <v>609</v>
      </c>
    </row>
    <row r="92" spans="1:23" ht="13.5" customHeight="1" thickBot="1" x14ac:dyDescent="0.35">
      <c r="A92" s="873" t="e">
        <f>LOOKUP(B92,[2]!Table1[Number],[2]!Table1[Koht])</f>
        <v>#REF!</v>
      </c>
      <c r="B92" s="874">
        <v>994</v>
      </c>
      <c r="C92" s="780" t="e">
        <f>LOOKUP(B92,[2]!Table1[Number],[2]!Table1[Seisundi indeks])</f>
        <v>#REF!</v>
      </c>
      <c r="D92" s="781" t="e">
        <f>LOOKUP(B92,[2]!Table1[Number],[2]!Table1[Nimi])</f>
        <v>#REF!</v>
      </c>
      <c r="E92" s="781" t="e">
        <f>LOOKUP(B92,[2]!Table1[Number],[2]!Table1[Tee nr])</f>
        <v>#REF!</v>
      </c>
      <c r="F92" s="781" t="e">
        <f>LOOKUP(B92,[2]!Table1[Number],[2]!Table1[Tee nimetus])</f>
        <v>#REF!</v>
      </c>
      <c r="G92" s="781" t="e">
        <f>LOOKUP(B92,[2]!Table1[Number],[2]!Table1[Algus mkaugus])</f>
        <v>#REF!</v>
      </c>
      <c r="H92" s="781" t="e">
        <f>LOOKUP(B92,[2]!Table1[Number],[2]!Table1[Silla pikkus])</f>
        <v>#REF!</v>
      </c>
      <c r="I92" s="782" t="e">
        <f>LOOKUP(B92,[2]!Table1[Number],[2]!Table1[Sõidutee laius sillal])</f>
        <v>#REF!</v>
      </c>
      <c r="J92" s="782" t="e">
        <f>LOOKUP(B92,[2]!Table1[Number],[2]!Table1[Regioon])</f>
        <v>#REF!</v>
      </c>
      <c r="K92" s="783" t="e">
        <f>LOOKUP(B92,[2]!Table1[Number],[2]!Table1[Maakond])</f>
        <v>#REF!</v>
      </c>
      <c r="L92" s="781" t="e">
        <f>LOOKUP(B92,[2]!Table1[Number],[2]!Table1[Aasta keskmine ööp. liiklus])</f>
        <v>#REF!</v>
      </c>
      <c r="M92" s="781" t="e">
        <f>LOOKUP(B92,[2]!Table1[Number],[2]!Table1[Ehitusaasta])</f>
        <v>#REF!</v>
      </c>
      <c r="N92" s="802">
        <v>207786</v>
      </c>
      <c r="O92" s="802"/>
      <c r="P92" s="834">
        <v>207786</v>
      </c>
      <c r="Q92" s="802"/>
      <c r="R92" s="802"/>
      <c r="S92" s="802"/>
      <c r="T92" s="785" t="s">
        <v>609</v>
      </c>
    </row>
    <row r="93" spans="1:23" ht="15.5" thickBot="1" x14ac:dyDescent="0.35">
      <c r="A93" s="875"/>
      <c r="B93" s="876"/>
      <c r="C93" s="877"/>
      <c r="D93" s="877"/>
      <c r="E93" s="878"/>
      <c r="F93" s="879"/>
      <c r="G93" s="878"/>
      <c r="H93" s="878"/>
      <c r="I93" s="880"/>
      <c r="J93" s="880"/>
      <c r="K93" s="881"/>
      <c r="L93" s="878"/>
      <c r="M93" s="878"/>
      <c r="N93" s="882"/>
      <c r="O93" s="857"/>
      <c r="P93" s="859">
        <f>SUM(P88:P92)</f>
        <v>790999</v>
      </c>
      <c r="Q93" s="857"/>
      <c r="R93" s="857"/>
      <c r="S93" s="857"/>
      <c r="T93" s="883"/>
    </row>
  </sheetData>
  <autoFilter ref="A2:T92" xr:uid="{00000000-0009-0000-0000-00000A000000}"/>
  <mergeCells count="3">
    <mergeCell ref="N3:N4"/>
    <mergeCell ref="O3:O4"/>
    <mergeCell ref="P3:P4"/>
  </mergeCells>
  <conditionalFormatting sqref="A1:A1048576">
    <cfRule type="cellIs" dxfId="8" priority="4" operator="greaterThan">
      <formula>200</formula>
    </cfRule>
    <cfRule type="cellIs" dxfId="7" priority="5" operator="between">
      <formula>100</formula>
      <formula>199</formula>
    </cfRule>
    <cfRule type="cellIs" dxfId="6" priority="6" operator="between">
      <formula>1</formula>
      <formula>99</formula>
    </cfRule>
  </conditionalFormatting>
  <conditionalFormatting sqref="C6:D6">
    <cfRule type="cellIs" dxfId="5" priority="28" operator="greaterThan">
      <formula>200</formula>
    </cfRule>
    <cfRule type="cellIs" dxfId="4" priority="29" operator="between">
      <formula>100</formula>
      <formula>199</formula>
    </cfRule>
    <cfRule type="cellIs" dxfId="3" priority="30" operator="between">
      <formula>1</formula>
      <formula>99</formula>
    </cfRule>
  </conditionalFormatting>
  <conditionalFormatting sqref="G6">
    <cfRule type="cellIs" dxfId="2" priority="1" operator="greaterThan">
      <formula>200</formula>
    </cfRule>
    <cfRule type="cellIs" dxfId="1" priority="2" operator="between">
      <formula>100</formula>
      <formula>199</formula>
    </cfRule>
    <cfRule type="cellIs" dxfId="0" priority="3" operator="between">
      <formula>1</formula>
      <formula>99</formula>
    </cfRule>
  </conditionalFormatting>
  <pageMargins left="0.25" right="0.25" top="0.75" bottom="0.75" header="0.3" footer="0.3"/>
  <pageSetup paperSize="8" scale="79" fitToHeight="0" orientation="landscape" r:id="rId1"/>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8" tint="0.59999389629810485"/>
  </sheetPr>
  <dimension ref="A1:AM129"/>
  <sheetViews>
    <sheetView topLeftCell="A6" zoomScale="73" zoomScaleNormal="73" workbookViewId="0">
      <pane ySplit="1" topLeftCell="A96" activePane="bottomLeft" state="frozen"/>
      <selection activeCell="A6" sqref="A6"/>
      <selection pane="bottomLeft" activeCell="R134" sqref="R134"/>
    </sheetView>
  </sheetViews>
  <sheetFormatPr defaultColWidth="9.1796875" defaultRowHeight="14.5" x14ac:dyDescent="0.35"/>
  <cols>
    <col min="1" max="1" width="7" style="566" customWidth="1"/>
    <col min="2" max="2" width="7.81640625" style="566" customWidth="1"/>
    <col min="3" max="3" width="33.1796875" style="566" customWidth="1"/>
    <col min="4" max="4" width="4.26953125" style="566" customWidth="1"/>
    <col min="5" max="7" width="9.1796875" style="566"/>
    <col min="8" max="8" width="18.7265625" style="566" customWidth="1"/>
    <col min="9" max="9" width="12.26953125" style="566" customWidth="1"/>
    <col min="10" max="10" width="9" style="566" hidden="1" customWidth="1"/>
    <col min="11" max="11" width="0" style="566" hidden="1" customWidth="1"/>
    <col min="12" max="12" width="11.26953125" style="566" customWidth="1"/>
    <col min="13" max="13" width="6.54296875" style="566" customWidth="1"/>
    <col min="14" max="14" width="7" style="566" customWidth="1"/>
    <col min="15" max="16" width="7.26953125" style="211" customWidth="1"/>
    <col min="17" max="18" width="7.1796875" style="211" customWidth="1"/>
    <col min="19" max="19" width="8.1796875" style="211" customWidth="1"/>
    <col min="20" max="20" width="7.1796875" style="211" customWidth="1"/>
    <col min="21" max="21" width="10.1796875" style="566" customWidth="1"/>
    <col min="22" max="22" width="8.81640625" style="566" hidden="1" customWidth="1"/>
    <col min="23" max="23" width="12.7265625" style="566" customWidth="1"/>
    <col min="24" max="24" width="22.453125" style="566" customWidth="1"/>
    <col min="25" max="25" width="47.7265625" style="886" customWidth="1"/>
    <col min="26" max="16384" width="9.1796875" style="566"/>
  </cols>
  <sheetData>
    <row r="1" spans="1:25" ht="15" hidden="1" thickBot="1" x14ac:dyDescent="0.4"/>
    <row r="2" spans="1:25" ht="15" hidden="1" customHeight="1" x14ac:dyDescent="0.35">
      <c r="A2" s="211"/>
      <c r="B2" s="211"/>
      <c r="C2" s="211"/>
      <c r="D2" s="211"/>
      <c r="E2" s="211"/>
      <c r="F2" s="211"/>
      <c r="G2" s="211"/>
      <c r="H2" s="211"/>
      <c r="I2" s="211"/>
      <c r="J2" s="211"/>
      <c r="K2" s="211"/>
      <c r="L2" s="887" t="s">
        <v>615</v>
      </c>
      <c r="M2" s="888">
        <v>41098</v>
      </c>
      <c r="N2" s="888"/>
      <c r="O2" s="889">
        <v>52942</v>
      </c>
      <c r="P2" s="889"/>
      <c r="Q2" s="889">
        <v>51336</v>
      </c>
      <c r="R2" s="889"/>
      <c r="S2" s="889"/>
      <c r="T2" s="889">
        <v>47459</v>
      </c>
      <c r="U2" s="890">
        <v>47742</v>
      </c>
      <c r="V2" s="891"/>
      <c r="W2" s="891"/>
      <c r="X2" s="891"/>
    </row>
    <row r="3" spans="1:25" ht="15" hidden="1" customHeight="1" x14ac:dyDescent="0.35">
      <c r="A3" s="211"/>
      <c r="B3" s="211"/>
      <c r="C3" s="211"/>
      <c r="D3" s="211"/>
      <c r="E3" s="211"/>
      <c r="F3" s="211"/>
      <c r="G3" s="211"/>
      <c r="H3" s="211"/>
      <c r="I3" s="211"/>
      <c r="J3" s="211"/>
      <c r="K3" s="211"/>
      <c r="L3" s="887"/>
      <c r="M3" s="892">
        <f t="shared" ref="M3:U3" si="0">M2/1000-M4</f>
        <v>39.698</v>
      </c>
      <c r="N3" s="892"/>
      <c r="O3" s="893">
        <f t="shared" si="0"/>
        <v>21.602</v>
      </c>
      <c r="P3" s="893"/>
      <c r="Q3" s="893">
        <f t="shared" si="0"/>
        <v>12.156000000000006</v>
      </c>
      <c r="R3" s="893"/>
      <c r="S3" s="893"/>
      <c r="T3" s="893">
        <f t="shared" si="0"/>
        <v>-9.9999999999766942E-4</v>
      </c>
      <c r="U3" s="892">
        <f t="shared" si="0"/>
        <v>5.499999999898364E-4</v>
      </c>
      <c r="V3" s="892"/>
      <c r="W3" s="892"/>
      <c r="X3" s="892"/>
    </row>
    <row r="4" spans="1:25" ht="19.5" hidden="1" customHeight="1" x14ac:dyDescent="0.35">
      <c r="A4" s="211" t="s">
        <v>616</v>
      </c>
      <c r="B4" s="211"/>
      <c r="C4" s="211"/>
      <c r="D4" s="211"/>
      <c r="E4" s="211"/>
      <c r="F4" s="211"/>
      <c r="G4" s="211"/>
      <c r="H4" s="211"/>
      <c r="I4" s="211"/>
      <c r="J4" s="211"/>
      <c r="K4" s="211"/>
      <c r="L4" s="887" t="s">
        <v>617</v>
      </c>
      <c r="M4" s="894">
        <f>SUM(M23:M102)</f>
        <v>1.4000000000000001</v>
      </c>
      <c r="N4" s="894"/>
      <c r="O4" s="895">
        <f>SUM(O23:O102)</f>
        <v>31.34</v>
      </c>
      <c r="P4" s="895"/>
      <c r="Q4" s="895">
        <f>SUM(Q23:Q102)</f>
        <v>39.179999999999993</v>
      </c>
      <c r="R4" s="895"/>
      <c r="S4" s="895"/>
      <c r="T4" s="895">
        <f>SUM(T23:T102)</f>
        <v>47.46</v>
      </c>
      <c r="U4" s="894">
        <f>SUM(U23:U102)</f>
        <v>47.741450000000007</v>
      </c>
      <c r="V4" s="896"/>
      <c r="W4" s="896"/>
      <c r="X4" s="896"/>
    </row>
    <row r="5" spans="1:25" ht="57.75" hidden="1" customHeight="1" thickBot="1" x14ac:dyDescent="0.4">
      <c r="A5" s="1537" t="s">
        <v>618</v>
      </c>
      <c r="B5" s="1539" t="s">
        <v>451</v>
      </c>
      <c r="C5" s="1539" t="s">
        <v>452</v>
      </c>
      <c r="D5" s="1539" t="s">
        <v>619</v>
      </c>
      <c r="E5" s="1539" t="s">
        <v>620</v>
      </c>
      <c r="F5" s="1539" t="s">
        <v>621</v>
      </c>
      <c r="G5" s="1541" t="s">
        <v>161</v>
      </c>
      <c r="H5" s="1542" t="s">
        <v>598</v>
      </c>
      <c r="I5" s="1542" t="s">
        <v>455</v>
      </c>
      <c r="J5" s="1543" t="s">
        <v>622</v>
      </c>
      <c r="K5" s="1544" t="s">
        <v>623</v>
      </c>
      <c r="L5" s="1535" t="s">
        <v>624</v>
      </c>
      <c r="M5" s="897">
        <v>41097.999999999993</v>
      </c>
      <c r="N5" s="897"/>
      <c r="O5" s="897">
        <v>52942.150021405403</v>
      </c>
      <c r="P5" s="897"/>
      <c r="Q5" s="897">
        <v>51335.999999999985</v>
      </c>
      <c r="R5" s="897"/>
      <c r="S5" s="897"/>
      <c r="T5" s="897">
        <v>47459</v>
      </c>
      <c r="U5" s="898"/>
      <c r="V5" s="899"/>
      <c r="W5" s="899"/>
      <c r="X5" s="899"/>
    </row>
    <row r="6" spans="1:25" ht="89.25" customHeight="1" thickBot="1" x14ac:dyDescent="0.4">
      <c r="A6" s="1538"/>
      <c r="B6" s="1540"/>
      <c r="C6" s="1540"/>
      <c r="D6" s="1540"/>
      <c r="E6" s="1540"/>
      <c r="F6" s="1540"/>
      <c r="G6" s="1540"/>
      <c r="H6" s="1538"/>
      <c r="I6" s="1538"/>
      <c r="J6" s="1538"/>
      <c r="K6" s="1545"/>
      <c r="L6" s="1536"/>
      <c r="M6" s="900" t="s">
        <v>625</v>
      </c>
      <c r="N6" s="901" t="s">
        <v>626</v>
      </c>
      <c r="O6" s="900" t="s">
        <v>627</v>
      </c>
      <c r="P6" s="901" t="s">
        <v>628</v>
      </c>
      <c r="Q6" s="900" t="s">
        <v>629</v>
      </c>
      <c r="R6" s="901" t="s">
        <v>630</v>
      </c>
      <c r="S6" s="900" t="s">
        <v>631</v>
      </c>
      <c r="T6" s="902" t="s">
        <v>632</v>
      </c>
      <c r="U6" s="903" t="s">
        <v>633</v>
      </c>
      <c r="V6" s="903" t="s">
        <v>584</v>
      </c>
      <c r="W6" s="903" t="s">
        <v>634</v>
      </c>
      <c r="X6" s="903" t="s">
        <v>635</v>
      </c>
    </row>
    <row r="7" spans="1:25" ht="19.5" customHeight="1" thickBot="1" x14ac:dyDescent="0.4">
      <c r="A7" s="904"/>
      <c r="B7" s="905"/>
      <c r="C7" s="905"/>
      <c r="D7" s="905"/>
      <c r="E7" s="905"/>
      <c r="F7" s="905"/>
      <c r="G7" s="905"/>
      <c r="H7" s="904"/>
      <c r="I7" s="904"/>
      <c r="J7" s="904"/>
      <c r="K7" s="906"/>
      <c r="L7" s="905"/>
      <c r="M7" s="907"/>
      <c r="N7" s="907"/>
      <c r="O7" s="908"/>
      <c r="P7" s="908"/>
      <c r="Q7" s="908"/>
      <c r="R7" s="908"/>
      <c r="S7" s="908"/>
      <c r="T7" s="909"/>
      <c r="U7" s="907"/>
      <c r="V7" s="907"/>
      <c r="W7" s="907"/>
      <c r="X7" s="907"/>
    </row>
    <row r="8" spans="1:25" x14ac:dyDescent="0.35">
      <c r="A8" s="910"/>
      <c r="B8" s="911"/>
      <c r="C8" s="911"/>
      <c r="D8" s="911"/>
      <c r="E8" s="911"/>
      <c r="F8" s="911"/>
      <c r="G8" s="911"/>
      <c r="H8" s="910"/>
      <c r="I8" s="910"/>
      <c r="J8" s="910"/>
      <c r="K8" s="912"/>
      <c r="L8" s="757"/>
      <c r="M8" s="913"/>
      <c r="N8" s="914"/>
      <c r="O8" s="915"/>
      <c r="P8" s="916"/>
      <c r="Q8" s="917"/>
      <c r="R8" s="918"/>
      <c r="S8" s="917"/>
      <c r="T8" s="918"/>
      <c r="U8" s="919"/>
      <c r="V8" s="920"/>
      <c r="W8" s="920"/>
      <c r="X8" s="919"/>
    </row>
    <row r="9" spans="1:25" s="211" customFormat="1" ht="43.5" x14ac:dyDescent="0.35">
      <c r="A9" s="921">
        <v>5</v>
      </c>
      <c r="B9" s="921">
        <v>11345</v>
      </c>
      <c r="C9" s="921" t="s">
        <v>173</v>
      </c>
      <c r="D9" s="922">
        <v>1</v>
      </c>
      <c r="E9" s="921">
        <v>6.742</v>
      </c>
      <c r="F9" s="921">
        <v>7.702</v>
      </c>
      <c r="G9" s="921">
        <f>F9-E9</f>
        <v>0.96</v>
      </c>
      <c r="H9" s="923" t="s">
        <v>636</v>
      </c>
      <c r="I9" s="924" t="s">
        <v>637</v>
      </c>
      <c r="J9" s="924" t="s">
        <v>638</v>
      </c>
      <c r="K9" s="925">
        <v>84</v>
      </c>
      <c r="L9" s="926" t="s">
        <v>639</v>
      </c>
      <c r="M9" s="927"/>
      <c r="N9" s="928"/>
      <c r="O9" s="927">
        <v>0.35</v>
      </c>
      <c r="P9" s="928">
        <v>0.35</v>
      </c>
      <c r="Q9" s="927"/>
      <c r="R9" s="928"/>
      <c r="S9" s="929"/>
      <c r="T9" s="930"/>
      <c r="U9" s="931"/>
      <c r="V9" s="932"/>
      <c r="W9" s="932"/>
      <c r="X9" s="933" t="s">
        <v>640</v>
      </c>
      <c r="Y9" s="934"/>
    </row>
    <row r="10" spans="1:25" ht="29" x14ac:dyDescent="0.35">
      <c r="A10" s="921">
        <v>10</v>
      </c>
      <c r="B10" s="921">
        <v>13115</v>
      </c>
      <c r="C10" s="921" t="s">
        <v>177</v>
      </c>
      <c r="D10" s="935">
        <v>1</v>
      </c>
      <c r="E10" s="936">
        <v>0</v>
      </c>
      <c r="F10" s="936">
        <v>3.3460000000000001</v>
      </c>
      <c r="G10" s="936">
        <v>3.3460000000000001</v>
      </c>
      <c r="H10" s="937" t="s">
        <v>641</v>
      </c>
      <c r="I10" s="938" t="s">
        <v>642</v>
      </c>
      <c r="J10" s="938" t="s">
        <v>643</v>
      </c>
      <c r="K10" s="925">
        <v>68</v>
      </c>
      <c r="L10" s="939" t="s">
        <v>644</v>
      </c>
      <c r="M10" s="927"/>
      <c r="N10" s="928"/>
      <c r="O10" s="927">
        <v>0.7</v>
      </c>
      <c r="P10" s="928">
        <v>0.7</v>
      </c>
      <c r="Q10" s="929"/>
      <c r="R10" s="930"/>
      <c r="S10" s="929"/>
      <c r="T10" s="930"/>
      <c r="U10" s="933"/>
      <c r="V10" s="940"/>
      <c r="W10" s="940"/>
      <c r="X10" s="933" t="s">
        <v>640</v>
      </c>
      <c r="Y10" s="566"/>
    </row>
    <row r="11" spans="1:25" ht="29" x14ac:dyDescent="0.35">
      <c r="A11" s="921">
        <v>25</v>
      </c>
      <c r="B11" s="921">
        <v>33</v>
      </c>
      <c r="C11" s="921" t="s">
        <v>217</v>
      </c>
      <c r="D11" s="922">
        <v>1</v>
      </c>
      <c r="E11" s="921">
        <v>1.637</v>
      </c>
      <c r="F11" s="921">
        <v>3.4140000000000001</v>
      </c>
      <c r="G11" s="921">
        <f>F11-E11</f>
        <v>1.7770000000000001</v>
      </c>
      <c r="H11" s="937" t="s">
        <v>641</v>
      </c>
      <c r="I11" s="924" t="s">
        <v>642</v>
      </c>
      <c r="J11" s="924" t="s">
        <v>645</v>
      </c>
      <c r="K11" s="925">
        <v>57</v>
      </c>
      <c r="L11" s="926"/>
      <c r="M11" s="929"/>
      <c r="N11" s="930"/>
      <c r="O11" s="929">
        <v>0.4</v>
      </c>
      <c r="P11" s="930">
        <v>0.4</v>
      </c>
      <c r="Q11" s="929"/>
      <c r="R11" s="930"/>
      <c r="S11" s="929"/>
      <c r="T11" s="930"/>
      <c r="U11" s="933"/>
      <c r="V11" s="940"/>
      <c r="W11" s="940"/>
      <c r="X11" s="933" t="s">
        <v>640</v>
      </c>
    </row>
    <row r="12" spans="1:25" ht="15" customHeight="1" x14ac:dyDescent="0.35">
      <c r="A12" s="921">
        <v>26</v>
      </c>
      <c r="B12" s="921">
        <v>88</v>
      </c>
      <c r="C12" s="921" t="s">
        <v>197</v>
      </c>
      <c r="D12" s="935">
        <v>1</v>
      </c>
      <c r="E12" s="936">
        <v>33.073</v>
      </c>
      <c r="F12" s="936">
        <v>36.299999999999997</v>
      </c>
      <c r="G12" s="921">
        <f t="shared" ref="G12:G34" si="1">F12-E12</f>
        <v>3.2269999999999968</v>
      </c>
      <c r="H12" s="937" t="s">
        <v>641</v>
      </c>
      <c r="I12" s="938" t="s">
        <v>646</v>
      </c>
      <c r="J12" s="938" t="s">
        <v>647</v>
      </c>
      <c r="K12" s="925">
        <v>57</v>
      </c>
      <c r="L12" s="926"/>
      <c r="M12" s="927"/>
      <c r="N12" s="928"/>
      <c r="O12" s="927">
        <v>0.95</v>
      </c>
      <c r="P12" s="928">
        <v>0.93</v>
      </c>
      <c r="Q12" s="927"/>
      <c r="R12" s="928"/>
      <c r="S12" s="927"/>
      <c r="T12" s="928"/>
      <c r="U12" s="931"/>
      <c r="V12" s="932"/>
      <c r="W12" s="932"/>
      <c r="X12" s="933" t="s">
        <v>640</v>
      </c>
    </row>
    <row r="13" spans="1:25" ht="176.25" customHeight="1" x14ac:dyDescent="0.35">
      <c r="A13" s="921">
        <v>34</v>
      </c>
      <c r="B13" s="921">
        <v>7</v>
      </c>
      <c r="C13" s="921" t="s">
        <v>191</v>
      </c>
      <c r="D13" s="922">
        <v>1</v>
      </c>
      <c r="E13" s="921">
        <v>195.565</v>
      </c>
      <c r="F13" s="921">
        <v>209.18799999999999</v>
      </c>
      <c r="G13" s="921">
        <f t="shared" si="1"/>
        <v>13.62299999999999</v>
      </c>
      <c r="H13" s="941" t="s">
        <v>648</v>
      </c>
      <c r="I13" s="924" t="s">
        <v>649</v>
      </c>
      <c r="J13" s="924" t="s">
        <v>650</v>
      </c>
      <c r="K13" s="925">
        <v>54</v>
      </c>
      <c r="L13" s="942"/>
      <c r="M13" s="929">
        <v>3.3</v>
      </c>
      <c r="N13" s="930"/>
      <c r="O13" s="929"/>
      <c r="P13" s="930">
        <v>4.45</v>
      </c>
      <c r="Q13" s="929"/>
      <c r="R13" s="930"/>
      <c r="S13" s="929"/>
      <c r="T13" s="930"/>
      <c r="U13" s="933"/>
      <c r="V13" s="940"/>
      <c r="W13" s="940"/>
      <c r="X13" s="933" t="s">
        <v>651</v>
      </c>
    </row>
    <row r="14" spans="1:25" ht="29" x14ac:dyDescent="0.35">
      <c r="A14" s="921">
        <v>35</v>
      </c>
      <c r="B14" s="921">
        <v>59</v>
      </c>
      <c r="C14" s="921" t="s">
        <v>185</v>
      </c>
      <c r="D14" s="935">
        <v>1</v>
      </c>
      <c r="E14" s="936">
        <v>5.9930000000000003</v>
      </c>
      <c r="F14" s="936">
        <v>12.143000000000001</v>
      </c>
      <c r="G14" s="921">
        <f t="shared" si="1"/>
        <v>6.15</v>
      </c>
      <c r="H14" s="943" t="s">
        <v>170</v>
      </c>
      <c r="I14" s="924" t="s">
        <v>652</v>
      </c>
      <c r="J14" s="924" t="s">
        <v>653</v>
      </c>
      <c r="K14" s="925">
        <v>54</v>
      </c>
      <c r="L14" s="942" t="s">
        <v>654</v>
      </c>
      <c r="M14" s="929"/>
      <c r="N14" s="930"/>
      <c r="O14" s="929">
        <v>2.02</v>
      </c>
      <c r="P14" s="930">
        <v>2.35</v>
      </c>
      <c r="Q14" s="929"/>
      <c r="R14" s="930"/>
      <c r="S14" s="929"/>
      <c r="T14" s="930"/>
      <c r="U14" s="933"/>
      <c r="V14" s="940"/>
      <c r="W14" s="940"/>
      <c r="X14" s="933" t="s">
        <v>655</v>
      </c>
    </row>
    <row r="15" spans="1:25" ht="43.5" x14ac:dyDescent="0.35">
      <c r="A15" s="921">
        <v>39</v>
      </c>
      <c r="B15" s="921">
        <v>43</v>
      </c>
      <c r="C15" s="921" t="s">
        <v>214</v>
      </c>
      <c r="D15" s="922">
        <v>1</v>
      </c>
      <c r="E15" s="921">
        <v>30.739000000000001</v>
      </c>
      <c r="F15" s="921">
        <v>40.750999999999998</v>
      </c>
      <c r="G15" s="921">
        <f t="shared" si="1"/>
        <v>10.011999999999997</v>
      </c>
      <c r="H15" s="941" t="s">
        <v>648</v>
      </c>
      <c r="I15" s="924" t="s">
        <v>656</v>
      </c>
      <c r="J15" s="924" t="s">
        <v>657</v>
      </c>
      <c r="K15" s="925">
        <v>52</v>
      </c>
      <c r="L15" s="942"/>
      <c r="M15" s="944">
        <v>2.54</v>
      </c>
      <c r="N15" s="945">
        <v>2.54</v>
      </c>
      <c r="O15" s="927">
        <v>1</v>
      </c>
      <c r="P15" s="946">
        <v>1</v>
      </c>
      <c r="Q15" s="927"/>
      <c r="R15" s="928"/>
      <c r="S15" s="927"/>
      <c r="T15" s="928"/>
      <c r="U15" s="931"/>
      <c r="V15" s="932"/>
      <c r="W15" s="932"/>
      <c r="X15" s="933" t="s">
        <v>640</v>
      </c>
    </row>
    <row r="16" spans="1:25" ht="43.5" x14ac:dyDescent="0.35">
      <c r="A16" s="921">
        <v>43</v>
      </c>
      <c r="B16" s="921">
        <v>90</v>
      </c>
      <c r="C16" s="921" t="s">
        <v>183</v>
      </c>
      <c r="D16" s="935">
        <v>1</v>
      </c>
      <c r="E16" s="936">
        <v>21.094000000000001</v>
      </c>
      <c r="F16" s="936">
        <v>27.600999999999999</v>
      </c>
      <c r="G16" s="921">
        <f t="shared" si="1"/>
        <v>6.5069999999999979</v>
      </c>
      <c r="H16" s="941" t="s">
        <v>648</v>
      </c>
      <c r="I16" s="938" t="s">
        <v>658</v>
      </c>
      <c r="J16" s="938" t="s">
        <v>659</v>
      </c>
      <c r="K16" s="925">
        <v>51</v>
      </c>
      <c r="L16" s="942"/>
      <c r="M16" s="929">
        <v>1</v>
      </c>
      <c r="N16" s="930">
        <v>1</v>
      </c>
      <c r="O16" s="929">
        <v>1.17</v>
      </c>
      <c r="P16" s="930">
        <v>1.43</v>
      </c>
      <c r="Q16" s="929"/>
      <c r="R16" s="930"/>
      <c r="S16" s="929"/>
      <c r="T16" s="930"/>
      <c r="U16" s="933"/>
      <c r="V16" s="940"/>
      <c r="W16" s="940"/>
      <c r="X16" s="933" t="s">
        <v>660</v>
      </c>
    </row>
    <row r="17" spans="1:24" ht="58" x14ac:dyDescent="0.35">
      <c r="A17" s="921">
        <v>42</v>
      </c>
      <c r="B17" s="921">
        <v>63</v>
      </c>
      <c r="C17" s="921" t="s">
        <v>202</v>
      </c>
      <c r="D17" s="935">
        <v>1</v>
      </c>
      <c r="E17" s="936">
        <v>0</v>
      </c>
      <c r="F17" s="936">
        <v>3.1829999999999998</v>
      </c>
      <c r="G17" s="921">
        <f t="shared" si="1"/>
        <v>3.1829999999999998</v>
      </c>
      <c r="H17" s="941" t="s">
        <v>648</v>
      </c>
      <c r="I17" s="938" t="s">
        <v>658</v>
      </c>
      <c r="J17" s="938" t="s">
        <v>661</v>
      </c>
      <c r="K17" s="925">
        <v>51</v>
      </c>
      <c r="L17" s="942"/>
      <c r="M17" s="927"/>
      <c r="N17" s="928"/>
      <c r="O17" s="927"/>
      <c r="P17" s="928">
        <v>1.0900000000000001</v>
      </c>
      <c r="Q17" s="927">
        <v>1.0900000000000001</v>
      </c>
      <c r="R17" s="947"/>
      <c r="S17" s="927"/>
      <c r="T17" s="928"/>
      <c r="U17" s="931"/>
      <c r="V17" s="932"/>
      <c r="W17" s="932"/>
      <c r="X17" s="933" t="s">
        <v>662</v>
      </c>
    </row>
    <row r="18" spans="1:24" ht="66" customHeight="1" x14ac:dyDescent="0.35">
      <c r="A18" s="921">
        <v>41</v>
      </c>
      <c r="B18" s="921">
        <v>25150</v>
      </c>
      <c r="C18" s="921" t="s">
        <v>221</v>
      </c>
      <c r="D18" s="935">
        <v>1</v>
      </c>
      <c r="E18" s="921">
        <v>7.306</v>
      </c>
      <c r="F18" s="921">
        <v>10.553000000000001</v>
      </c>
      <c r="G18" s="921">
        <f t="shared" si="1"/>
        <v>3.2470000000000008</v>
      </c>
      <c r="H18" s="948" t="s">
        <v>648</v>
      </c>
      <c r="I18" s="949" t="s">
        <v>649</v>
      </c>
      <c r="J18" s="949" t="s">
        <v>663</v>
      </c>
      <c r="K18" s="925">
        <v>51</v>
      </c>
      <c r="L18" s="942"/>
      <c r="M18" s="927"/>
      <c r="N18" s="928"/>
      <c r="O18" s="927">
        <v>1.25</v>
      </c>
      <c r="P18" s="928">
        <v>2.1800000000000002</v>
      </c>
      <c r="Q18" s="927"/>
      <c r="R18" s="928"/>
      <c r="S18" s="927"/>
      <c r="T18" s="928"/>
      <c r="U18" s="931"/>
      <c r="V18" s="932"/>
      <c r="W18" s="932"/>
      <c r="X18" s="933" t="s">
        <v>664</v>
      </c>
    </row>
    <row r="19" spans="1:24" ht="52.5" customHeight="1" x14ac:dyDescent="0.35">
      <c r="A19" s="921">
        <v>45</v>
      </c>
      <c r="B19" s="921">
        <v>91</v>
      </c>
      <c r="C19" s="921" t="s">
        <v>205</v>
      </c>
      <c r="D19" s="935">
        <v>1</v>
      </c>
      <c r="E19" s="936">
        <v>19.081</v>
      </c>
      <c r="F19" s="936">
        <v>26.334</v>
      </c>
      <c r="G19" s="921">
        <f t="shared" si="1"/>
        <v>7.2530000000000001</v>
      </c>
      <c r="H19" s="937" t="s">
        <v>641</v>
      </c>
      <c r="I19" s="938" t="s">
        <v>642</v>
      </c>
      <c r="J19" s="938" t="s">
        <v>665</v>
      </c>
      <c r="K19" s="925">
        <v>51</v>
      </c>
      <c r="L19" s="926"/>
      <c r="M19" s="929"/>
      <c r="N19" s="930"/>
      <c r="O19" s="929">
        <v>1.54</v>
      </c>
      <c r="P19" s="930">
        <v>2.4</v>
      </c>
      <c r="Q19" s="929"/>
      <c r="R19" s="930"/>
      <c r="S19" s="929"/>
      <c r="T19" s="930"/>
      <c r="U19" s="933"/>
      <c r="V19" s="940"/>
      <c r="W19" s="940"/>
      <c r="X19" s="933" t="s">
        <v>666</v>
      </c>
    </row>
    <row r="20" spans="1:24" ht="47.25" customHeight="1" x14ac:dyDescent="0.35">
      <c r="A20" s="921">
        <v>47</v>
      </c>
      <c r="B20" s="921">
        <v>90</v>
      </c>
      <c r="C20" s="921" t="s">
        <v>183</v>
      </c>
      <c r="D20" s="935">
        <v>1</v>
      </c>
      <c r="E20" s="936">
        <v>11.295</v>
      </c>
      <c r="F20" s="936">
        <v>21.094000000000001</v>
      </c>
      <c r="G20" s="921">
        <f t="shared" si="1"/>
        <v>9.7990000000000013</v>
      </c>
      <c r="H20" s="941" t="s">
        <v>648</v>
      </c>
      <c r="I20" s="938" t="s">
        <v>658</v>
      </c>
      <c r="J20" s="938" t="s">
        <v>667</v>
      </c>
      <c r="K20" s="925">
        <v>50</v>
      </c>
      <c r="L20" s="942"/>
      <c r="M20" s="929">
        <v>0.43</v>
      </c>
      <c r="N20" s="930">
        <v>0.43</v>
      </c>
      <c r="O20" s="950">
        <v>3</v>
      </c>
      <c r="P20" s="951">
        <v>3.43</v>
      </c>
      <c r="Q20" s="929"/>
      <c r="R20" s="930"/>
      <c r="S20" s="929"/>
      <c r="T20" s="930"/>
      <c r="U20" s="933"/>
      <c r="V20" s="940"/>
      <c r="W20" s="940"/>
      <c r="X20" s="933" t="s">
        <v>660</v>
      </c>
    </row>
    <row r="21" spans="1:24" ht="15" customHeight="1" x14ac:dyDescent="0.35">
      <c r="A21" s="921">
        <v>48</v>
      </c>
      <c r="B21" s="921">
        <v>49</v>
      </c>
      <c r="C21" s="921" t="s">
        <v>219</v>
      </c>
      <c r="D21" s="922">
        <v>1</v>
      </c>
      <c r="E21" s="921">
        <v>58.884999999999998</v>
      </c>
      <c r="F21" s="921">
        <v>64.715000000000003</v>
      </c>
      <c r="G21" s="921">
        <f t="shared" si="1"/>
        <v>5.8300000000000054</v>
      </c>
      <c r="H21" s="943" t="s">
        <v>170</v>
      </c>
      <c r="I21" s="924" t="s">
        <v>668</v>
      </c>
      <c r="J21" s="924" t="s">
        <v>669</v>
      </c>
      <c r="K21" s="925">
        <v>50</v>
      </c>
      <c r="L21" s="942"/>
      <c r="M21" s="927"/>
      <c r="N21" s="928"/>
      <c r="O21" s="927">
        <v>2.06</v>
      </c>
      <c r="P21" s="928">
        <v>2.2000000000000002</v>
      </c>
      <c r="Q21" s="927"/>
      <c r="R21" s="928"/>
      <c r="S21" s="927"/>
      <c r="T21" s="928"/>
      <c r="U21" s="931"/>
      <c r="V21" s="932"/>
      <c r="W21" s="932"/>
      <c r="X21" s="931" t="s">
        <v>640</v>
      </c>
    </row>
    <row r="22" spans="1:24" ht="29" x14ac:dyDescent="0.35">
      <c r="A22" s="921">
        <v>69</v>
      </c>
      <c r="B22" s="921">
        <v>21</v>
      </c>
      <c r="C22" s="921" t="s">
        <v>175</v>
      </c>
      <c r="D22" s="922">
        <v>1</v>
      </c>
      <c r="E22" s="921">
        <v>28.946999999999999</v>
      </c>
      <c r="F22" s="921">
        <v>44.503</v>
      </c>
      <c r="G22" s="921">
        <f t="shared" si="1"/>
        <v>15.556000000000001</v>
      </c>
      <c r="H22" s="937" t="s">
        <v>641</v>
      </c>
      <c r="I22" s="924" t="s">
        <v>646</v>
      </c>
      <c r="J22" s="924" t="s">
        <v>670</v>
      </c>
      <c r="K22" s="925" t="s">
        <v>671</v>
      </c>
      <c r="L22" s="926"/>
      <c r="M22" s="929"/>
      <c r="N22" s="930"/>
      <c r="O22" s="929">
        <v>5.52</v>
      </c>
      <c r="P22" s="930">
        <v>5.5</v>
      </c>
      <c r="Q22" s="929"/>
      <c r="R22" s="930"/>
      <c r="S22" s="929"/>
      <c r="T22" s="930"/>
      <c r="U22" s="933"/>
      <c r="V22" s="940"/>
      <c r="W22" s="940"/>
      <c r="X22" s="933" t="s">
        <v>672</v>
      </c>
    </row>
    <row r="23" spans="1:24" ht="29" x14ac:dyDescent="0.35">
      <c r="A23" s="921">
        <v>54</v>
      </c>
      <c r="B23" s="921">
        <v>36</v>
      </c>
      <c r="C23" s="921" t="s">
        <v>199</v>
      </c>
      <c r="D23" s="922">
        <v>1</v>
      </c>
      <c r="E23" s="921">
        <v>33.771999999999998</v>
      </c>
      <c r="F23" s="921">
        <v>38.909999999999997</v>
      </c>
      <c r="G23" s="921">
        <f t="shared" si="1"/>
        <v>5.1379999999999981</v>
      </c>
      <c r="H23" s="941" t="s">
        <v>648</v>
      </c>
      <c r="I23" s="924" t="s">
        <v>673</v>
      </c>
      <c r="J23" s="924" t="s">
        <v>674</v>
      </c>
      <c r="K23" s="925">
        <v>49</v>
      </c>
      <c r="L23" s="942" t="s">
        <v>675</v>
      </c>
      <c r="M23" s="927"/>
      <c r="N23" s="928">
        <v>0.3</v>
      </c>
      <c r="O23" s="927">
        <v>2.1</v>
      </c>
      <c r="P23" s="928">
        <v>1.8</v>
      </c>
      <c r="Q23" s="927"/>
      <c r="R23" s="928"/>
      <c r="S23" s="927"/>
      <c r="T23" s="928"/>
      <c r="U23" s="931"/>
      <c r="V23" s="932"/>
      <c r="W23" s="932"/>
      <c r="X23" s="933" t="s">
        <v>676</v>
      </c>
    </row>
    <row r="24" spans="1:24" ht="29" x14ac:dyDescent="0.35">
      <c r="A24" s="921">
        <v>57</v>
      </c>
      <c r="B24" s="921">
        <v>13101</v>
      </c>
      <c r="C24" s="921" t="s">
        <v>220</v>
      </c>
      <c r="D24" s="922">
        <v>1</v>
      </c>
      <c r="E24" s="921">
        <v>0</v>
      </c>
      <c r="F24" s="921">
        <v>2.94</v>
      </c>
      <c r="G24" s="921">
        <f t="shared" si="1"/>
        <v>2.94</v>
      </c>
      <c r="H24" s="937" t="s">
        <v>641</v>
      </c>
      <c r="I24" s="924" t="s">
        <v>642</v>
      </c>
      <c r="J24" s="924" t="s">
        <v>677</v>
      </c>
      <c r="K24" s="925">
        <v>49</v>
      </c>
      <c r="L24" s="926"/>
      <c r="M24" s="929"/>
      <c r="N24" s="930"/>
      <c r="O24" s="929">
        <v>0.75</v>
      </c>
      <c r="P24" s="930">
        <v>0.75</v>
      </c>
      <c r="Q24" s="929"/>
      <c r="R24" s="930"/>
      <c r="S24" s="929"/>
      <c r="T24" s="930"/>
      <c r="U24" s="933"/>
      <c r="V24" s="940"/>
      <c r="W24" s="940"/>
      <c r="X24" s="933" t="s">
        <v>640</v>
      </c>
    </row>
    <row r="25" spans="1:24" ht="58" x14ac:dyDescent="0.35">
      <c r="A25" s="921">
        <v>64</v>
      </c>
      <c r="B25" s="921">
        <v>35</v>
      </c>
      <c r="C25" s="921" t="s">
        <v>179</v>
      </c>
      <c r="D25" s="922">
        <v>1</v>
      </c>
      <c r="E25" s="921">
        <v>0.81</v>
      </c>
      <c r="F25" s="921">
        <v>16.545000000000002</v>
      </c>
      <c r="G25" s="921">
        <f t="shared" si="1"/>
        <v>15.735000000000001</v>
      </c>
      <c r="H25" s="937" t="s">
        <v>641</v>
      </c>
      <c r="I25" s="924" t="s">
        <v>642</v>
      </c>
      <c r="J25" s="924" t="s">
        <v>678</v>
      </c>
      <c r="K25" s="925">
        <v>48</v>
      </c>
      <c r="L25" s="926"/>
      <c r="M25" s="927">
        <v>1.3</v>
      </c>
      <c r="N25" s="928">
        <v>0.5</v>
      </c>
      <c r="O25" s="927">
        <v>1</v>
      </c>
      <c r="P25" s="928">
        <v>1.75</v>
      </c>
      <c r="Q25" s="927"/>
      <c r="R25" s="928"/>
      <c r="S25" s="927"/>
      <c r="T25" s="928"/>
      <c r="U25" s="931"/>
      <c r="V25" s="932"/>
      <c r="W25" s="932"/>
      <c r="X25" s="933" t="s">
        <v>679</v>
      </c>
    </row>
    <row r="26" spans="1:24" x14ac:dyDescent="0.35">
      <c r="A26" s="921">
        <v>61</v>
      </c>
      <c r="B26" s="921">
        <v>62</v>
      </c>
      <c r="C26" s="921" t="s">
        <v>227</v>
      </c>
      <c r="D26" s="922">
        <v>1</v>
      </c>
      <c r="E26" s="921">
        <v>25.527999999999999</v>
      </c>
      <c r="F26" s="921">
        <v>32.707000000000001</v>
      </c>
      <c r="G26" s="921">
        <f t="shared" si="1"/>
        <v>7.179000000000002</v>
      </c>
      <c r="H26" s="941" t="s">
        <v>648</v>
      </c>
      <c r="I26" s="924" t="s">
        <v>658</v>
      </c>
      <c r="J26" s="924" t="s">
        <v>680</v>
      </c>
      <c r="K26" s="925">
        <v>48</v>
      </c>
      <c r="L26" s="942"/>
      <c r="M26" s="927"/>
      <c r="N26" s="928"/>
      <c r="O26" s="927">
        <v>2.58</v>
      </c>
      <c r="P26" s="928">
        <v>2.58</v>
      </c>
      <c r="Q26" s="927"/>
      <c r="R26" s="928"/>
      <c r="S26" s="927"/>
      <c r="T26" s="928"/>
      <c r="U26" s="931"/>
      <c r="V26" s="932"/>
      <c r="W26" s="932"/>
      <c r="X26" s="931" t="s">
        <v>640</v>
      </c>
    </row>
    <row r="27" spans="1:24" ht="43.5" x14ac:dyDescent="0.35">
      <c r="A27" s="921">
        <v>70</v>
      </c>
      <c r="B27" s="921">
        <v>11152</v>
      </c>
      <c r="C27" s="921" t="s">
        <v>206</v>
      </c>
      <c r="D27" s="922">
        <v>1</v>
      </c>
      <c r="E27" s="921">
        <v>0</v>
      </c>
      <c r="F27" s="921">
        <v>5.0049999999999999</v>
      </c>
      <c r="G27" s="921">
        <f t="shared" si="1"/>
        <v>5.0049999999999999</v>
      </c>
      <c r="H27" s="923" t="s">
        <v>636</v>
      </c>
      <c r="I27" s="924" t="s">
        <v>637</v>
      </c>
      <c r="J27" s="924" t="s">
        <v>681</v>
      </c>
      <c r="K27" s="925">
        <v>47</v>
      </c>
      <c r="L27" s="926" t="s">
        <v>682</v>
      </c>
      <c r="M27" s="929"/>
      <c r="N27" s="930"/>
      <c r="O27" s="929">
        <v>1.4</v>
      </c>
      <c r="P27" s="930">
        <v>1.4</v>
      </c>
      <c r="Q27" s="929"/>
      <c r="R27" s="930"/>
      <c r="S27" s="929"/>
      <c r="T27" s="930"/>
      <c r="U27" s="933"/>
      <c r="V27" s="940"/>
      <c r="W27" s="940"/>
      <c r="X27" s="933" t="s">
        <v>683</v>
      </c>
    </row>
    <row r="28" spans="1:24" ht="15" customHeight="1" x14ac:dyDescent="0.35">
      <c r="A28" s="921">
        <v>66</v>
      </c>
      <c r="B28" s="921">
        <v>45</v>
      </c>
      <c r="C28" s="921" t="s">
        <v>195</v>
      </c>
      <c r="D28" s="922">
        <v>1</v>
      </c>
      <c r="E28" s="921">
        <v>78.251999999999995</v>
      </c>
      <c r="F28" s="921">
        <v>85.613</v>
      </c>
      <c r="G28" s="921">
        <f t="shared" si="1"/>
        <v>7.3610000000000042</v>
      </c>
      <c r="H28" s="941" t="s">
        <v>648</v>
      </c>
      <c r="I28" s="924" t="s">
        <v>658</v>
      </c>
      <c r="J28" s="924" t="s">
        <v>684</v>
      </c>
      <c r="K28" s="925">
        <v>47</v>
      </c>
      <c r="L28" s="942"/>
      <c r="M28" s="929"/>
      <c r="N28" s="930"/>
      <c r="O28" s="952">
        <v>2.6</v>
      </c>
      <c r="P28" s="951">
        <v>2.6</v>
      </c>
      <c r="Q28" s="952"/>
      <c r="R28" s="951"/>
      <c r="S28" s="952"/>
      <c r="T28" s="951"/>
      <c r="U28" s="953"/>
      <c r="V28" s="954"/>
      <c r="W28" s="954"/>
      <c r="X28" s="953" t="s">
        <v>640</v>
      </c>
    </row>
    <row r="29" spans="1:24" ht="87" customHeight="1" x14ac:dyDescent="0.35">
      <c r="A29" s="921">
        <v>80</v>
      </c>
      <c r="B29" s="921">
        <v>17</v>
      </c>
      <c r="C29" s="921" t="s">
        <v>209</v>
      </c>
      <c r="D29" s="922">
        <v>1</v>
      </c>
      <c r="E29" s="921">
        <v>44.694000000000003</v>
      </c>
      <c r="F29" s="921">
        <v>54.890999999999998</v>
      </c>
      <c r="G29" s="921">
        <f t="shared" si="1"/>
        <v>10.196999999999996</v>
      </c>
      <c r="H29" s="943" t="s">
        <v>170</v>
      </c>
      <c r="I29" s="924" t="s">
        <v>685</v>
      </c>
      <c r="J29" s="924" t="s">
        <v>686</v>
      </c>
      <c r="K29" s="925">
        <v>44</v>
      </c>
      <c r="L29" s="942"/>
      <c r="M29" s="927"/>
      <c r="N29" s="928"/>
      <c r="O29" s="927">
        <v>3.1</v>
      </c>
      <c r="P29" s="928">
        <v>1.7</v>
      </c>
      <c r="Q29" s="927"/>
      <c r="R29" s="928">
        <v>1.39</v>
      </c>
      <c r="S29" s="927"/>
      <c r="T29" s="928"/>
      <c r="U29" s="931"/>
      <c r="V29" s="932"/>
      <c r="W29" s="932"/>
      <c r="X29" s="933" t="s">
        <v>676</v>
      </c>
    </row>
    <row r="30" spans="1:24" ht="43.5" x14ac:dyDescent="0.35">
      <c r="A30" s="921">
        <v>88</v>
      </c>
      <c r="B30" s="921">
        <v>11125</v>
      </c>
      <c r="C30" s="921" t="s">
        <v>187</v>
      </c>
      <c r="D30" s="935">
        <v>1</v>
      </c>
      <c r="E30" s="921">
        <v>0</v>
      </c>
      <c r="F30" s="921">
        <v>10.717000000000001</v>
      </c>
      <c r="G30" s="921">
        <f t="shared" si="1"/>
        <v>10.717000000000001</v>
      </c>
      <c r="H30" s="923" t="s">
        <v>636</v>
      </c>
      <c r="I30" s="938" t="s">
        <v>637</v>
      </c>
      <c r="J30" s="938" t="s">
        <v>687</v>
      </c>
      <c r="K30" s="925">
        <v>42</v>
      </c>
      <c r="L30" s="926"/>
      <c r="M30" s="929"/>
      <c r="N30" s="930"/>
      <c r="O30" s="929">
        <v>3.5</v>
      </c>
      <c r="P30" s="930">
        <v>3.5</v>
      </c>
      <c r="Q30" s="929"/>
      <c r="R30" s="930"/>
      <c r="S30" s="929"/>
      <c r="T30" s="930"/>
      <c r="U30" s="933"/>
      <c r="V30" s="955"/>
      <c r="W30" s="955"/>
      <c r="X30" s="933" t="s">
        <v>640</v>
      </c>
    </row>
    <row r="31" spans="1:24" ht="43.5" x14ac:dyDescent="0.35">
      <c r="A31" s="921">
        <v>94</v>
      </c>
      <c r="B31" s="921">
        <v>11161</v>
      </c>
      <c r="C31" s="921" t="s">
        <v>240</v>
      </c>
      <c r="D31" s="935">
        <v>1</v>
      </c>
      <c r="E31" s="921">
        <v>3.6019999999999999</v>
      </c>
      <c r="F31" s="921">
        <v>5.76</v>
      </c>
      <c r="G31" s="921">
        <f t="shared" si="1"/>
        <v>2.1579999999999999</v>
      </c>
      <c r="H31" s="923" t="s">
        <v>636</v>
      </c>
      <c r="I31" s="938" t="s">
        <v>637</v>
      </c>
      <c r="J31" s="938" t="s">
        <v>688</v>
      </c>
      <c r="K31" s="925">
        <v>41</v>
      </c>
      <c r="L31" s="926"/>
      <c r="M31" s="929"/>
      <c r="N31" s="930"/>
      <c r="O31" s="929">
        <v>0.5</v>
      </c>
      <c r="P31" s="930">
        <v>0.7</v>
      </c>
      <c r="Q31" s="929"/>
      <c r="R31" s="930"/>
      <c r="S31" s="929"/>
      <c r="T31" s="930"/>
      <c r="U31" s="933"/>
      <c r="V31" s="940"/>
      <c r="W31" s="940"/>
      <c r="X31" s="933" t="s">
        <v>689</v>
      </c>
    </row>
    <row r="32" spans="1:24" ht="43.5" x14ac:dyDescent="0.35">
      <c r="A32" s="921">
        <v>110</v>
      </c>
      <c r="B32" s="921">
        <v>29</v>
      </c>
      <c r="C32" s="921" t="s">
        <v>239</v>
      </c>
      <c r="D32" s="922">
        <v>1</v>
      </c>
      <c r="E32" s="921">
        <v>5.3999999999999999E-2</v>
      </c>
      <c r="F32" s="921">
        <v>10.356</v>
      </c>
      <c r="G32" s="921">
        <f t="shared" si="1"/>
        <v>10.302</v>
      </c>
      <c r="H32" s="923" t="s">
        <v>636</v>
      </c>
      <c r="I32" s="924" t="s">
        <v>690</v>
      </c>
      <c r="J32" s="924" t="s">
        <v>691</v>
      </c>
      <c r="K32" s="925">
        <v>38</v>
      </c>
      <c r="L32" s="926"/>
      <c r="M32" s="929"/>
      <c r="N32" s="930"/>
      <c r="O32" s="929">
        <v>3.5</v>
      </c>
      <c r="P32" s="930">
        <v>3.5</v>
      </c>
      <c r="Q32" s="929"/>
      <c r="R32" s="930"/>
      <c r="S32" s="929"/>
      <c r="T32" s="930"/>
      <c r="U32" s="933"/>
      <c r="V32" s="940"/>
      <c r="W32" s="940"/>
      <c r="X32" s="933" t="s">
        <v>640</v>
      </c>
    </row>
    <row r="33" spans="1:24" ht="15" customHeight="1" x14ac:dyDescent="0.35">
      <c r="A33" s="921">
        <v>143</v>
      </c>
      <c r="B33" s="921">
        <v>29</v>
      </c>
      <c r="C33" s="921" t="s">
        <v>239</v>
      </c>
      <c r="D33" s="935">
        <v>1</v>
      </c>
      <c r="E33" s="921">
        <v>10.356</v>
      </c>
      <c r="F33" s="921">
        <v>14.356999999999999</v>
      </c>
      <c r="G33" s="921">
        <f t="shared" si="1"/>
        <v>4.0009999999999994</v>
      </c>
      <c r="H33" s="923" t="s">
        <v>636</v>
      </c>
      <c r="I33" s="938" t="s">
        <v>690</v>
      </c>
      <c r="J33" s="938" t="s">
        <v>691</v>
      </c>
      <c r="K33" s="925">
        <v>33</v>
      </c>
      <c r="L33" s="926"/>
      <c r="M33" s="929"/>
      <c r="N33" s="930"/>
      <c r="O33" s="929">
        <v>1.4</v>
      </c>
      <c r="P33" s="930">
        <v>1.4</v>
      </c>
      <c r="Q33" s="929"/>
      <c r="R33" s="930"/>
      <c r="S33" s="929"/>
      <c r="T33" s="930"/>
      <c r="U33" s="933"/>
      <c r="V33" s="940"/>
      <c r="W33" s="940"/>
      <c r="X33" s="933" t="s">
        <v>640</v>
      </c>
    </row>
    <row r="34" spans="1:24" ht="43.5" x14ac:dyDescent="0.35">
      <c r="A34" s="921">
        <v>194</v>
      </c>
      <c r="B34" s="921">
        <v>17</v>
      </c>
      <c r="C34" s="921" t="s">
        <v>209</v>
      </c>
      <c r="D34" s="922">
        <v>1</v>
      </c>
      <c r="E34" s="921">
        <v>25.36</v>
      </c>
      <c r="F34" s="921">
        <v>34.793999999999997</v>
      </c>
      <c r="G34" s="921">
        <f t="shared" si="1"/>
        <v>9.4339999999999975</v>
      </c>
      <c r="H34" s="923" t="s">
        <v>636</v>
      </c>
      <c r="I34" s="924" t="s">
        <v>637</v>
      </c>
      <c r="J34" s="924" t="s">
        <v>692</v>
      </c>
      <c r="K34" s="925">
        <v>26</v>
      </c>
      <c r="L34" s="926"/>
      <c r="M34" s="929"/>
      <c r="N34" s="930"/>
      <c r="O34" s="929">
        <v>3.4</v>
      </c>
      <c r="P34" s="930">
        <v>2.85</v>
      </c>
      <c r="Q34" s="929"/>
      <c r="R34" s="930"/>
      <c r="S34" s="929"/>
      <c r="T34" s="930"/>
      <c r="U34" s="933"/>
      <c r="V34" s="940"/>
      <c r="W34" s="940"/>
      <c r="X34" s="933" t="s">
        <v>676</v>
      </c>
    </row>
    <row r="35" spans="1:24" x14ac:dyDescent="0.35">
      <c r="L35" s="53"/>
      <c r="M35" s="53"/>
      <c r="N35" s="53"/>
      <c r="O35" s="956"/>
      <c r="P35" s="956"/>
      <c r="Q35" s="957"/>
      <c r="R35" s="957"/>
      <c r="S35" s="957"/>
      <c r="T35" s="957"/>
      <c r="U35" s="53"/>
      <c r="V35" s="53"/>
      <c r="W35" s="53"/>
    </row>
    <row r="36" spans="1:24" x14ac:dyDescent="0.35">
      <c r="A36" s="192" t="s">
        <v>693</v>
      </c>
      <c r="C36" s="211"/>
      <c r="D36" s="211"/>
      <c r="E36" s="211"/>
      <c r="F36" s="958" t="s">
        <v>694</v>
      </c>
      <c r="G36" s="958"/>
      <c r="H36" s="958"/>
      <c r="I36" s="958"/>
      <c r="L36" s="53"/>
      <c r="M36" s="53"/>
      <c r="N36" s="53"/>
      <c r="O36" s="957"/>
      <c r="P36" s="957"/>
      <c r="Q36" s="957"/>
      <c r="R36" s="957"/>
      <c r="S36" s="957"/>
      <c r="T36" s="957"/>
      <c r="U36" s="53"/>
      <c r="V36" s="53"/>
      <c r="W36" s="53"/>
    </row>
    <row r="37" spans="1:24" ht="15" customHeight="1" x14ac:dyDescent="0.35">
      <c r="A37" s="959">
        <v>17</v>
      </c>
      <c r="B37" s="959">
        <v>11110</v>
      </c>
      <c r="C37" s="959" t="s">
        <v>695</v>
      </c>
      <c r="D37" s="960">
        <v>1</v>
      </c>
      <c r="E37" s="959">
        <v>2.145</v>
      </c>
      <c r="F37" s="959">
        <v>3.9580000000000002</v>
      </c>
      <c r="G37" s="959">
        <f t="shared" ref="G37:G62" si="2">F37-E37</f>
        <v>1.8130000000000002</v>
      </c>
      <c r="H37" s="923" t="s">
        <v>636</v>
      </c>
      <c r="I37" s="961" t="s">
        <v>637</v>
      </c>
      <c r="J37" s="961" t="s">
        <v>696</v>
      </c>
      <c r="K37" s="962">
        <v>63</v>
      </c>
      <c r="L37" s="963" t="s">
        <v>697</v>
      </c>
      <c r="M37" s="964"/>
      <c r="N37" s="965"/>
      <c r="O37" s="964"/>
      <c r="P37" s="965"/>
      <c r="Q37" s="964">
        <v>0.63</v>
      </c>
      <c r="R37" s="965">
        <v>0.63</v>
      </c>
      <c r="S37" s="964"/>
      <c r="T37" s="965"/>
      <c r="U37" s="966"/>
      <c r="V37" s="967"/>
      <c r="W37" s="967"/>
      <c r="X37" s="966" t="s">
        <v>640</v>
      </c>
    </row>
    <row r="38" spans="1:24" ht="15" customHeight="1" x14ac:dyDescent="0.35">
      <c r="A38" s="959">
        <v>19</v>
      </c>
      <c r="B38" s="959">
        <v>59</v>
      </c>
      <c r="C38" s="959" t="s">
        <v>185</v>
      </c>
      <c r="D38" s="960">
        <v>1</v>
      </c>
      <c r="E38" s="959">
        <v>12.143000000000001</v>
      </c>
      <c r="F38" s="959">
        <v>16.853000000000002</v>
      </c>
      <c r="G38" s="959">
        <f t="shared" si="2"/>
        <v>4.7100000000000009</v>
      </c>
      <c r="H38" s="968" t="s">
        <v>170</v>
      </c>
      <c r="I38" s="961" t="s">
        <v>652</v>
      </c>
      <c r="J38" s="961" t="s">
        <v>698</v>
      </c>
      <c r="K38" s="962">
        <v>61</v>
      </c>
      <c r="L38" s="969"/>
      <c r="M38" s="970"/>
      <c r="N38" s="971"/>
      <c r="O38" s="970"/>
      <c r="P38" s="971"/>
      <c r="Q38" s="970">
        <v>1.65</v>
      </c>
      <c r="R38" s="972">
        <v>1.65</v>
      </c>
      <c r="S38" s="970"/>
      <c r="T38" s="971"/>
      <c r="U38" s="966"/>
      <c r="V38" s="967"/>
      <c r="W38" s="967"/>
      <c r="X38" s="966" t="s">
        <v>640</v>
      </c>
    </row>
    <row r="39" spans="1:24" ht="29" x14ac:dyDescent="0.35">
      <c r="A39" s="959">
        <v>22</v>
      </c>
      <c r="B39" s="959">
        <v>19278</v>
      </c>
      <c r="C39" s="959" t="s">
        <v>193</v>
      </c>
      <c r="D39" s="960">
        <v>1</v>
      </c>
      <c r="E39" s="959">
        <v>0</v>
      </c>
      <c r="F39" s="959">
        <v>3.6589999999999998</v>
      </c>
      <c r="G39" s="959">
        <f t="shared" si="2"/>
        <v>3.6589999999999998</v>
      </c>
      <c r="H39" s="968" t="s">
        <v>170</v>
      </c>
      <c r="I39" s="961" t="s">
        <v>652</v>
      </c>
      <c r="J39" s="961" t="s">
        <v>699</v>
      </c>
      <c r="K39" s="962">
        <v>58</v>
      </c>
      <c r="L39" s="969"/>
      <c r="M39" s="970"/>
      <c r="N39" s="971"/>
      <c r="O39" s="970"/>
      <c r="P39" s="972"/>
      <c r="Q39" s="970">
        <v>1.1100000000000001</v>
      </c>
      <c r="R39" s="971">
        <v>1.3</v>
      </c>
      <c r="S39" s="970"/>
      <c r="T39" s="973"/>
      <c r="U39" s="974"/>
      <c r="V39" s="975"/>
      <c r="W39" s="975"/>
      <c r="X39" s="976" t="s">
        <v>676</v>
      </c>
    </row>
    <row r="40" spans="1:24" ht="43.5" x14ac:dyDescent="0.35">
      <c r="A40" s="959">
        <v>30</v>
      </c>
      <c r="B40" s="959">
        <v>11202</v>
      </c>
      <c r="C40" s="959" t="s">
        <v>211</v>
      </c>
      <c r="D40" s="960">
        <v>1</v>
      </c>
      <c r="E40" s="959">
        <v>23</v>
      </c>
      <c r="F40" s="959">
        <v>26.937000000000001</v>
      </c>
      <c r="G40" s="959">
        <f t="shared" si="2"/>
        <v>3.9370000000000012</v>
      </c>
      <c r="H40" s="923" t="s">
        <v>636</v>
      </c>
      <c r="I40" s="961" t="s">
        <v>690</v>
      </c>
      <c r="J40" s="961" t="s">
        <v>700</v>
      </c>
      <c r="K40" s="962">
        <v>55</v>
      </c>
      <c r="L40" s="963"/>
      <c r="M40" s="964"/>
      <c r="N40" s="965"/>
      <c r="O40" s="964"/>
      <c r="P40" s="965"/>
      <c r="Q40" s="964">
        <v>1.4</v>
      </c>
      <c r="R40" s="965">
        <v>1.4</v>
      </c>
      <c r="S40" s="964"/>
      <c r="T40" s="965"/>
      <c r="U40" s="976"/>
      <c r="V40" s="977"/>
      <c r="W40" s="977"/>
      <c r="X40" s="976" t="s">
        <v>640</v>
      </c>
    </row>
    <row r="41" spans="1:24" ht="58" x14ac:dyDescent="0.35">
      <c r="A41" s="959">
        <v>33</v>
      </c>
      <c r="B41" s="959">
        <v>25194</v>
      </c>
      <c r="C41" s="959" t="s">
        <v>210</v>
      </c>
      <c r="D41" s="960">
        <v>1</v>
      </c>
      <c r="E41" s="959">
        <v>0</v>
      </c>
      <c r="F41" s="959">
        <v>1.198</v>
      </c>
      <c r="G41" s="959">
        <f t="shared" si="2"/>
        <v>1.198</v>
      </c>
      <c r="H41" s="941" t="s">
        <v>648</v>
      </c>
      <c r="I41" s="978" t="s">
        <v>649</v>
      </c>
      <c r="J41" s="978" t="s">
        <v>701</v>
      </c>
      <c r="K41" s="962">
        <v>54</v>
      </c>
      <c r="L41" s="969" t="s">
        <v>702</v>
      </c>
      <c r="M41" s="964"/>
      <c r="N41" s="965"/>
      <c r="O41" s="964"/>
      <c r="P41" s="965"/>
      <c r="Q41" s="970">
        <v>0.45</v>
      </c>
      <c r="R41" s="965">
        <v>0.84</v>
      </c>
      <c r="S41" s="964"/>
      <c r="T41" s="965"/>
      <c r="U41" s="976"/>
      <c r="V41" s="977"/>
      <c r="W41" s="977"/>
      <c r="X41" s="976" t="s">
        <v>703</v>
      </c>
    </row>
    <row r="42" spans="1:24" ht="58" x14ac:dyDescent="0.35">
      <c r="A42" s="959">
        <v>125</v>
      </c>
      <c r="B42" s="959">
        <v>23129</v>
      </c>
      <c r="C42" s="959" t="s">
        <v>246</v>
      </c>
      <c r="D42" s="960">
        <v>1</v>
      </c>
      <c r="E42" s="959">
        <v>12.9</v>
      </c>
      <c r="F42" s="959">
        <v>16.436</v>
      </c>
      <c r="G42" s="959">
        <f t="shared" si="2"/>
        <v>3.5359999999999996</v>
      </c>
      <c r="H42" s="941" t="s">
        <v>648</v>
      </c>
      <c r="I42" s="978" t="s">
        <v>192</v>
      </c>
      <c r="J42" s="978" t="s">
        <v>494</v>
      </c>
      <c r="K42" s="962"/>
      <c r="L42" s="969" t="s">
        <v>702</v>
      </c>
      <c r="M42" s="964"/>
      <c r="N42" s="965"/>
      <c r="O42" s="964"/>
      <c r="P42" s="965"/>
      <c r="Q42" s="970">
        <v>1.2</v>
      </c>
      <c r="R42" s="971">
        <v>1.7</v>
      </c>
      <c r="S42" s="964"/>
      <c r="T42" s="965"/>
      <c r="U42" s="976"/>
      <c r="V42" s="977"/>
      <c r="W42" s="977"/>
      <c r="X42" s="976" t="s">
        <v>703</v>
      </c>
    </row>
    <row r="43" spans="1:24" ht="72.5" x14ac:dyDescent="0.35">
      <c r="A43" s="959">
        <v>90</v>
      </c>
      <c r="B43" s="959">
        <v>70</v>
      </c>
      <c r="C43" s="959" t="s">
        <v>204</v>
      </c>
      <c r="D43" s="960">
        <v>1</v>
      </c>
      <c r="E43" s="959">
        <v>0</v>
      </c>
      <c r="F43" s="959">
        <v>6.9420000000000002</v>
      </c>
      <c r="G43" s="959">
        <f t="shared" si="2"/>
        <v>6.9420000000000002</v>
      </c>
      <c r="H43" s="941" t="s">
        <v>648</v>
      </c>
      <c r="I43" s="961" t="s">
        <v>649</v>
      </c>
      <c r="J43" s="961" t="s">
        <v>704</v>
      </c>
      <c r="K43" s="962">
        <v>41</v>
      </c>
      <c r="L43" s="969" t="s">
        <v>702</v>
      </c>
      <c r="M43" s="970"/>
      <c r="N43" s="971"/>
      <c r="O43" s="964"/>
      <c r="P43" s="965"/>
      <c r="Q43" s="970">
        <v>2.4900000000000002</v>
      </c>
      <c r="R43" s="971">
        <v>2.9</v>
      </c>
      <c r="S43" s="964"/>
      <c r="T43" s="965"/>
      <c r="U43" s="974"/>
      <c r="V43" s="975"/>
      <c r="W43" s="975"/>
      <c r="X43" s="976" t="s">
        <v>705</v>
      </c>
    </row>
    <row r="44" spans="1:24" ht="43.5" x14ac:dyDescent="0.35">
      <c r="A44" s="921">
        <v>40</v>
      </c>
      <c r="B44" s="921">
        <v>24116</v>
      </c>
      <c r="C44" s="921" t="s">
        <v>230</v>
      </c>
      <c r="D44" s="935">
        <v>1</v>
      </c>
      <c r="E44" s="936">
        <v>0.82899999999999996</v>
      </c>
      <c r="F44" s="936">
        <v>6.0780000000000003</v>
      </c>
      <c r="G44" s="921">
        <f t="shared" si="2"/>
        <v>5.2490000000000006</v>
      </c>
      <c r="H44" s="968" t="s">
        <v>170</v>
      </c>
      <c r="I44" s="979" t="s">
        <v>668</v>
      </c>
      <c r="J44" s="949" t="s">
        <v>706</v>
      </c>
      <c r="K44" s="925">
        <v>52</v>
      </c>
      <c r="L44" s="942"/>
      <c r="M44" s="927"/>
      <c r="N44" s="928"/>
      <c r="O44" s="927"/>
      <c r="P44" s="928"/>
      <c r="Q44" s="927">
        <v>1.85</v>
      </c>
      <c r="R44" s="928">
        <v>1.85</v>
      </c>
      <c r="S44" s="927"/>
      <c r="T44" s="928"/>
      <c r="U44" s="931"/>
      <c r="V44" s="932"/>
      <c r="W44" s="932"/>
      <c r="X44" s="933" t="s">
        <v>640</v>
      </c>
    </row>
    <row r="45" spans="1:24" ht="29" x14ac:dyDescent="0.35">
      <c r="A45" s="921">
        <v>63</v>
      </c>
      <c r="B45" s="921">
        <v>6</v>
      </c>
      <c r="C45" s="921" t="s">
        <v>200</v>
      </c>
      <c r="D45" s="922">
        <v>1</v>
      </c>
      <c r="E45" s="921">
        <v>75.126000000000005</v>
      </c>
      <c r="F45" s="921">
        <v>82.793000000000006</v>
      </c>
      <c r="G45" s="921">
        <f t="shared" si="2"/>
        <v>7.6670000000000016</v>
      </c>
      <c r="H45" s="943" t="s">
        <v>170</v>
      </c>
      <c r="I45" s="924" t="s">
        <v>668</v>
      </c>
      <c r="J45" s="924" t="s">
        <v>707</v>
      </c>
      <c r="K45" s="925">
        <v>48</v>
      </c>
      <c r="L45" s="942"/>
      <c r="M45" s="927"/>
      <c r="N45" s="928"/>
      <c r="O45" s="927"/>
      <c r="P45" s="928"/>
      <c r="Q45" s="927">
        <v>2.67</v>
      </c>
      <c r="R45" s="928">
        <v>2.67</v>
      </c>
      <c r="S45" s="927"/>
      <c r="T45" s="928"/>
      <c r="U45" s="931"/>
      <c r="V45" s="932"/>
      <c r="W45" s="932"/>
      <c r="X45" s="931" t="s">
        <v>640</v>
      </c>
    </row>
    <row r="46" spans="1:24" ht="15" customHeight="1" x14ac:dyDescent="0.35">
      <c r="A46" s="921">
        <v>74</v>
      </c>
      <c r="B46" s="921">
        <v>11113</v>
      </c>
      <c r="C46" s="921" t="s">
        <v>243</v>
      </c>
      <c r="D46" s="922">
        <v>1</v>
      </c>
      <c r="E46" s="921">
        <v>3.234</v>
      </c>
      <c r="F46" s="921">
        <v>4.8929999999999998</v>
      </c>
      <c r="G46" s="921">
        <f t="shared" si="2"/>
        <v>1.6589999999999998</v>
      </c>
      <c r="H46" s="923" t="s">
        <v>636</v>
      </c>
      <c r="I46" s="924" t="s">
        <v>637</v>
      </c>
      <c r="J46" s="924" t="s">
        <v>708</v>
      </c>
      <c r="K46" s="925">
        <v>46</v>
      </c>
      <c r="L46" s="926"/>
      <c r="M46" s="929"/>
      <c r="N46" s="930"/>
      <c r="O46" s="929"/>
      <c r="P46" s="930"/>
      <c r="Q46" s="929">
        <v>0.5</v>
      </c>
      <c r="R46" s="930">
        <v>0.5</v>
      </c>
      <c r="S46" s="929"/>
      <c r="T46" s="930"/>
      <c r="U46" s="980"/>
      <c r="V46" s="940"/>
      <c r="W46" s="940"/>
      <c r="X46" s="933" t="s">
        <v>640</v>
      </c>
    </row>
    <row r="47" spans="1:24" x14ac:dyDescent="0.35">
      <c r="A47" s="921">
        <v>72</v>
      </c>
      <c r="B47" s="921">
        <v>90</v>
      </c>
      <c r="C47" s="921" t="s">
        <v>183</v>
      </c>
      <c r="D47" s="935">
        <v>1</v>
      </c>
      <c r="E47" s="936">
        <v>27.300999999999998</v>
      </c>
      <c r="F47" s="936">
        <v>34.219000000000001</v>
      </c>
      <c r="G47" s="921">
        <f t="shared" si="2"/>
        <v>6.9180000000000028</v>
      </c>
      <c r="H47" s="941" t="s">
        <v>648</v>
      </c>
      <c r="I47" s="938" t="s">
        <v>658</v>
      </c>
      <c r="J47" s="938" t="s">
        <v>709</v>
      </c>
      <c r="K47" s="925">
        <v>46</v>
      </c>
      <c r="L47" s="942"/>
      <c r="M47" s="952"/>
      <c r="N47" s="951"/>
      <c r="O47" s="952"/>
      <c r="P47" s="951"/>
      <c r="Q47" s="929">
        <v>2.42</v>
      </c>
      <c r="R47" s="930">
        <v>2.41</v>
      </c>
      <c r="S47" s="929"/>
      <c r="T47" s="930"/>
      <c r="U47" s="933"/>
      <c r="V47" s="940"/>
      <c r="W47" s="940"/>
      <c r="X47" s="933" t="s">
        <v>640</v>
      </c>
    </row>
    <row r="48" spans="1:24" ht="87" x14ac:dyDescent="0.35">
      <c r="A48" s="921">
        <v>71</v>
      </c>
      <c r="B48" s="921">
        <v>62</v>
      </c>
      <c r="C48" s="921" t="s">
        <v>227</v>
      </c>
      <c r="D48" s="935">
        <v>1</v>
      </c>
      <c r="E48" s="936">
        <v>32.707000000000001</v>
      </c>
      <c r="F48" s="936">
        <v>41.655000000000001</v>
      </c>
      <c r="G48" s="921">
        <f t="shared" si="2"/>
        <v>8.9480000000000004</v>
      </c>
      <c r="H48" s="941" t="s">
        <v>648</v>
      </c>
      <c r="I48" s="938" t="s">
        <v>658</v>
      </c>
      <c r="J48" s="938" t="s">
        <v>710</v>
      </c>
      <c r="K48" s="925">
        <v>46</v>
      </c>
      <c r="L48" s="942"/>
      <c r="M48" s="927"/>
      <c r="N48" s="928"/>
      <c r="O48" s="927">
        <v>2.7</v>
      </c>
      <c r="P48" s="947"/>
      <c r="Q48" s="927"/>
      <c r="R48" s="928">
        <v>3.23</v>
      </c>
      <c r="S48" s="927"/>
      <c r="T48" s="928"/>
      <c r="U48" s="931"/>
      <c r="V48" s="932"/>
      <c r="W48" s="932"/>
      <c r="X48" s="933" t="s">
        <v>711</v>
      </c>
    </row>
    <row r="49" spans="1:24" ht="15" customHeight="1" x14ac:dyDescent="0.35">
      <c r="A49" s="921">
        <v>76</v>
      </c>
      <c r="B49" s="921">
        <v>13114</v>
      </c>
      <c r="C49" s="921" t="s">
        <v>223</v>
      </c>
      <c r="D49" s="935">
        <v>1</v>
      </c>
      <c r="E49" s="936">
        <v>4.96</v>
      </c>
      <c r="F49" s="936">
        <v>7.1520000000000001</v>
      </c>
      <c r="G49" s="921">
        <f t="shared" si="2"/>
        <v>2.1920000000000002</v>
      </c>
      <c r="H49" s="941" t="s">
        <v>648</v>
      </c>
      <c r="I49" s="938" t="s">
        <v>673</v>
      </c>
      <c r="J49" s="938" t="s">
        <v>712</v>
      </c>
      <c r="K49" s="925">
        <v>45</v>
      </c>
      <c r="L49" s="942" t="s">
        <v>675</v>
      </c>
      <c r="M49" s="927"/>
      <c r="N49" s="928"/>
      <c r="O49" s="927"/>
      <c r="P49" s="928"/>
      <c r="Q49" s="927">
        <v>0.69</v>
      </c>
      <c r="R49" s="928">
        <v>0.69</v>
      </c>
      <c r="S49" s="927"/>
      <c r="T49" s="928"/>
      <c r="U49" s="931"/>
      <c r="V49" s="932"/>
      <c r="W49" s="932"/>
      <c r="X49" s="933" t="s">
        <v>640</v>
      </c>
    </row>
    <row r="50" spans="1:24" ht="101.5" x14ac:dyDescent="0.35">
      <c r="A50" s="921">
        <v>78</v>
      </c>
      <c r="B50" s="921">
        <v>65</v>
      </c>
      <c r="C50" s="921" t="s">
        <v>216</v>
      </c>
      <c r="D50" s="935">
        <v>1</v>
      </c>
      <c r="E50" s="936">
        <v>25.895</v>
      </c>
      <c r="F50" s="936">
        <v>35.006999999999998</v>
      </c>
      <c r="G50" s="921">
        <f t="shared" si="2"/>
        <v>9.1119999999999983</v>
      </c>
      <c r="H50" s="941" t="s">
        <v>648</v>
      </c>
      <c r="I50" s="938" t="s">
        <v>658</v>
      </c>
      <c r="J50" s="938" t="s">
        <v>713</v>
      </c>
      <c r="K50" s="925">
        <v>44</v>
      </c>
      <c r="L50" s="926" t="s">
        <v>714</v>
      </c>
      <c r="M50" s="927"/>
      <c r="N50" s="928"/>
      <c r="O50" s="927"/>
      <c r="P50" s="928"/>
      <c r="Q50" s="927">
        <v>2.77</v>
      </c>
      <c r="R50" s="928">
        <v>1.45</v>
      </c>
      <c r="S50" s="927"/>
      <c r="T50" s="928">
        <v>1.32</v>
      </c>
      <c r="U50" s="931"/>
      <c r="V50" s="932"/>
      <c r="W50" s="932"/>
      <c r="X50" s="933" t="s">
        <v>715</v>
      </c>
    </row>
    <row r="51" spans="1:24" x14ac:dyDescent="0.35">
      <c r="A51" s="921">
        <v>87</v>
      </c>
      <c r="B51" s="921">
        <v>58</v>
      </c>
      <c r="C51" s="921" t="s">
        <v>224</v>
      </c>
      <c r="D51" s="935">
        <v>1</v>
      </c>
      <c r="E51" s="936">
        <v>0.11899999999999999</v>
      </c>
      <c r="F51" s="936">
        <v>5.968</v>
      </c>
      <c r="G51" s="921">
        <f t="shared" si="2"/>
        <v>5.8490000000000002</v>
      </c>
      <c r="H51" s="943" t="s">
        <v>170</v>
      </c>
      <c r="I51" s="924" t="s">
        <v>652</v>
      </c>
      <c r="J51" s="924" t="s">
        <v>716</v>
      </c>
      <c r="K51" s="925">
        <v>42</v>
      </c>
      <c r="L51" s="942"/>
      <c r="M51" s="927"/>
      <c r="N51" s="928"/>
      <c r="O51" s="927"/>
      <c r="P51" s="928"/>
      <c r="Q51" s="927">
        <v>1.2</v>
      </c>
      <c r="R51" s="928">
        <v>1.2</v>
      </c>
      <c r="S51" s="927"/>
      <c r="T51" s="928"/>
      <c r="U51" s="931"/>
      <c r="V51" s="932"/>
      <c r="W51" s="932"/>
      <c r="X51" s="931" t="s">
        <v>640</v>
      </c>
    </row>
    <row r="52" spans="1:24" ht="29" x14ac:dyDescent="0.35">
      <c r="A52" s="921">
        <v>84</v>
      </c>
      <c r="B52" s="921">
        <v>65</v>
      </c>
      <c r="C52" s="921" t="s">
        <v>216</v>
      </c>
      <c r="D52" s="935">
        <v>1</v>
      </c>
      <c r="E52" s="936">
        <v>16.777000000000001</v>
      </c>
      <c r="F52" s="936">
        <v>25.895</v>
      </c>
      <c r="G52" s="921">
        <f t="shared" si="2"/>
        <v>9.1179999999999986</v>
      </c>
      <c r="H52" s="941" t="s">
        <v>648</v>
      </c>
      <c r="I52" s="938" t="s">
        <v>658</v>
      </c>
      <c r="J52" s="938" t="s">
        <v>717</v>
      </c>
      <c r="K52" s="925">
        <v>42</v>
      </c>
      <c r="L52" s="942"/>
      <c r="M52" s="927"/>
      <c r="N52" s="928"/>
      <c r="O52" s="927">
        <v>1.53</v>
      </c>
      <c r="P52" s="928"/>
      <c r="Q52" s="927">
        <v>1.27</v>
      </c>
      <c r="R52" s="928">
        <v>2.9</v>
      </c>
      <c r="S52" s="927"/>
      <c r="T52" s="928"/>
      <c r="U52" s="931"/>
      <c r="V52" s="932"/>
      <c r="W52" s="932"/>
      <c r="X52" s="933" t="s">
        <v>718</v>
      </c>
    </row>
    <row r="53" spans="1:24" ht="43.5" x14ac:dyDescent="0.35">
      <c r="A53" s="921">
        <v>106</v>
      </c>
      <c r="B53" s="921">
        <v>11332</v>
      </c>
      <c r="C53" s="921" t="s">
        <v>265</v>
      </c>
      <c r="D53" s="935">
        <v>1</v>
      </c>
      <c r="E53" s="936">
        <v>0</v>
      </c>
      <c r="F53" s="936">
        <v>0.93</v>
      </c>
      <c r="G53" s="921">
        <f t="shared" si="2"/>
        <v>0.93</v>
      </c>
      <c r="H53" s="923" t="s">
        <v>636</v>
      </c>
      <c r="I53" s="938" t="s">
        <v>637</v>
      </c>
      <c r="J53" s="938" t="s">
        <v>719</v>
      </c>
      <c r="K53" s="925">
        <v>39</v>
      </c>
      <c r="L53" s="926"/>
      <c r="M53" s="929"/>
      <c r="N53" s="930"/>
      <c r="O53" s="929">
        <v>0.3</v>
      </c>
      <c r="P53" s="947"/>
      <c r="Q53" s="929"/>
      <c r="R53" s="930">
        <v>0.3</v>
      </c>
      <c r="S53" s="929"/>
      <c r="T53" s="930"/>
      <c r="U53" s="933"/>
      <c r="V53" s="940"/>
      <c r="W53" s="940"/>
      <c r="X53" s="933" t="s">
        <v>720</v>
      </c>
    </row>
    <row r="54" spans="1:24" ht="186" customHeight="1" x14ac:dyDescent="0.35">
      <c r="A54" s="921">
        <v>104</v>
      </c>
      <c r="B54" s="921">
        <v>11162</v>
      </c>
      <c r="C54" s="921" t="s">
        <v>232</v>
      </c>
      <c r="D54" s="935">
        <v>1</v>
      </c>
      <c r="E54" s="936">
        <v>0</v>
      </c>
      <c r="F54" s="936">
        <v>2.8</v>
      </c>
      <c r="G54" s="921">
        <f t="shared" si="2"/>
        <v>2.8</v>
      </c>
      <c r="H54" s="923" t="s">
        <v>636</v>
      </c>
      <c r="I54" s="938" t="s">
        <v>637</v>
      </c>
      <c r="J54" s="938" t="s">
        <v>721</v>
      </c>
      <c r="K54" s="925">
        <v>39</v>
      </c>
      <c r="L54" s="926" t="s">
        <v>722</v>
      </c>
      <c r="M54" s="929">
        <v>0.1</v>
      </c>
      <c r="N54" s="930"/>
      <c r="O54" s="929">
        <v>0.98</v>
      </c>
      <c r="P54" s="947"/>
      <c r="Q54" s="929"/>
      <c r="R54" s="930">
        <v>0.99</v>
      </c>
      <c r="S54" s="929"/>
      <c r="T54" s="930"/>
      <c r="U54" s="933"/>
      <c r="V54" s="940"/>
      <c r="W54" s="940"/>
      <c r="X54" s="933" t="s">
        <v>723</v>
      </c>
    </row>
    <row r="55" spans="1:24" ht="29" x14ac:dyDescent="0.35">
      <c r="A55" s="921">
        <v>99</v>
      </c>
      <c r="B55" s="921">
        <v>17</v>
      </c>
      <c r="C55" s="921" t="s">
        <v>209</v>
      </c>
      <c r="D55" s="922">
        <v>1</v>
      </c>
      <c r="E55" s="921">
        <v>54.890999999999998</v>
      </c>
      <c r="F55" s="921">
        <v>62.819000000000003</v>
      </c>
      <c r="G55" s="921">
        <f t="shared" si="2"/>
        <v>7.9280000000000044</v>
      </c>
      <c r="H55" s="943" t="s">
        <v>170</v>
      </c>
      <c r="I55" s="924" t="s">
        <v>685</v>
      </c>
      <c r="J55" s="924" t="s">
        <v>724</v>
      </c>
      <c r="K55" s="925">
        <v>39</v>
      </c>
      <c r="L55" s="942"/>
      <c r="M55" s="927"/>
      <c r="N55" s="928"/>
      <c r="O55" s="927"/>
      <c r="P55" s="928"/>
      <c r="Q55" s="927">
        <v>1</v>
      </c>
      <c r="R55" s="928"/>
      <c r="S55" s="927">
        <v>1.39</v>
      </c>
      <c r="T55" s="928">
        <v>2.69</v>
      </c>
      <c r="U55" s="931"/>
      <c r="V55" s="932"/>
      <c r="W55" s="932"/>
      <c r="X55" s="933" t="s">
        <v>676</v>
      </c>
    </row>
    <row r="56" spans="1:24" ht="15" customHeight="1" x14ac:dyDescent="0.35">
      <c r="A56" s="921">
        <v>108</v>
      </c>
      <c r="B56" s="921">
        <v>90</v>
      </c>
      <c r="C56" s="921" t="s">
        <v>183</v>
      </c>
      <c r="D56" s="935">
        <v>1</v>
      </c>
      <c r="E56" s="936">
        <v>0.28999999999999998</v>
      </c>
      <c r="F56" s="936">
        <v>11.295</v>
      </c>
      <c r="G56" s="921">
        <f t="shared" si="2"/>
        <v>11.005000000000001</v>
      </c>
      <c r="H56" s="941" t="s">
        <v>648</v>
      </c>
      <c r="I56" s="938" t="s">
        <v>658</v>
      </c>
      <c r="J56" s="938" t="s">
        <v>725</v>
      </c>
      <c r="K56" s="925">
        <v>38</v>
      </c>
      <c r="L56" s="942"/>
      <c r="M56" s="927"/>
      <c r="N56" s="928"/>
      <c r="O56" s="927"/>
      <c r="P56" s="928"/>
      <c r="Q56" s="927">
        <v>3.37</v>
      </c>
      <c r="R56" s="928">
        <v>3.36</v>
      </c>
      <c r="S56" s="927"/>
      <c r="T56" s="928"/>
      <c r="U56" s="931"/>
      <c r="V56" s="932"/>
      <c r="W56" s="932"/>
      <c r="X56" s="933" t="s">
        <v>640</v>
      </c>
    </row>
    <row r="57" spans="1:24" ht="18.75" customHeight="1" x14ac:dyDescent="0.35">
      <c r="A57" s="921">
        <v>138</v>
      </c>
      <c r="B57" s="921">
        <v>15</v>
      </c>
      <c r="C57" s="921" t="s">
        <v>264</v>
      </c>
      <c r="D57" s="935">
        <v>1</v>
      </c>
      <c r="E57" s="936">
        <v>70.596000000000004</v>
      </c>
      <c r="F57" s="936">
        <v>78.927000000000007</v>
      </c>
      <c r="G57" s="921">
        <f t="shared" si="2"/>
        <v>8.3310000000000031</v>
      </c>
      <c r="H57" s="923" t="s">
        <v>636</v>
      </c>
      <c r="I57" s="938" t="s">
        <v>690</v>
      </c>
      <c r="J57" s="938" t="s">
        <v>726</v>
      </c>
      <c r="K57" s="925">
        <v>34</v>
      </c>
      <c r="L57" s="926"/>
      <c r="M57" s="929"/>
      <c r="N57" s="930"/>
      <c r="O57" s="929"/>
      <c r="P57" s="930"/>
      <c r="Q57" s="929">
        <v>1.27</v>
      </c>
      <c r="R57" s="930">
        <v>1.27</v>
      </c>
      <c r="S57" s="929"/>
      <c r="T57" s="930"/>
      <c r="U57" s="933"/>
      <c r="V57" s="940"/>
      <c r="W57" s="940"/>
      <c r="X57" s="933" t="s">
        <v>640</v>
      </c>
    </row>
    <row r="58" spans="1:24" ht="72.5" x14ac:dyDescent="0.35">
      <c r="A58" s="921">
        <v>215</v>
      </c>
      <c r="B58" s="921">
        <v>7</v>
      </c>
      <c r="C58" s="921" t="s">
        <v>191</v>
      </c>
      <c r="D58" s="922">
        <v>1</v>
      </c>
      <c r="E58" s="921">
        <v>209.18799999999999</v>
      </c>
      <c r="F58" s="921">
        <v>216.91800000000001</v>
      </c>
      <c r="G58" s="921">
        <f t="shared" si="2"/>
        <v>7.7300000000000182</v>
      </c>
      <c r="H58" s="941" t="s">
        <v>648</v>
      </c>
      <c r="I58" s="924" t="s">
        <v>649</v>
      </c>
      <c r="J58" s="924" t="s">
        <v>727</v>
      </c>
      <c r="K58" s="925">
        <v>23</v>
      </c>
      <c r="L58" s="942"/>
      <c r="M58" s="927"/>
      <c r="N58" s="928"/>
      <c r="O58" s="927"/>
      <c r="P58" s="928"/>
      <c r="Q58" s="927">
        <v>2.7</v>
      </c>
      <c r="R58" s="928">
        <v>4.3</v>
      </c>
      <c r="S58" s="927"/>
      <c r="T58" s="928"/>
      <c r="U58" s="931"/>
      <c r="V58" s="932"/>
      <c r="W58" s="932"/>
      <c r="X58" s="933" t="s">
        <v>728</v>
      </c>
    </row>
    <row r="59" spans="1:24" ht="66" customHeight="1" x14ac:dyDescent="0.35">
      <c r="A59" s="921">
        <v>225</v>
      </c>
      <c r="B59" s="921">
        <v>25</v>
      </c>
      <c r="C59" s="921" t="s">
        <v>255</v>
      </c>
      <c r="D59" s="922">
        <v>1</v>
      </c>
      <c r="E59" s="921">
        <v>5.1999999999999998E-2</v>
      </c>
      <c r="F59" s="921">
        <v>5</v>
      </c>
      <c r="G59" s="921">
        <f>F59-E59</f>
        <v>4.9480000000000004</v>
      </c>
      <c r="H59" s="937" t="s">
        <v>641</v>
      </c>
      <c r="I59" s="924" t="s">
        <v>729</v>
      </c>
      <c r="J59" s="924" t="s">
        <v>730</v>
      </c>
      <c r="K59" s="925">
        <v>22</v>
      </c>
      <c r="L59" s="939"/>
      <c r="M59" s="927"/>
      <c r="N59" s="928"/>
      <c r="O59" s="927"/>
      <c r="P59" s="928"/>
      <c r="Q59" s="927"/>
      <c r="R59" s="928">
        <v>1.3</v>
      </c>
      <c r="S59" s="927">
        <v>0.8</v>
      </c>
      <c r="T59" s="928"/>
      <c r="U59" s="933"/>
      <c r="V59" s="940"/>
      <c r="W59" s="932"/>
      <c r="X59" s="933" t="s">
        <v>731</v>
      </c>
    </row>
    <row r="60" spans="1:24" ht="51.75" customHeight="1" x14ac:dyDescent="0.35">
      <c r="A60" s="921">
        <v>272</v>
      </c>
      <c r="B60" s="921">
        <v>2</v>
      </c>
      <c r="C60" s="921" t="s">
        <v>732</v>
      </c>
      <c r="D60" s="922">
        <v>1.2</v>
      </c>
      <c r="E60" s="921">
        <v>12.6</v>
      </c>
      <c r="F60" s="921">
        <v>20.898</v>
      </c>
      <c r="G60" s="921">
        <f t="shared" si="2"/>
        <v>8.298</v>
      </c>
      <c r="H60" s="923" t="s">
        <v>636</v>
      </c>
      <c r="I60" s="924" t="s">
        <v>637</v>
      </c>
      <c r="J60" s="924" t="s">
        <v>733</v>
      </c>
      <c r="K60" s="925">
        <v>10</v>
      </c>
      <c r="L60" s="926"/>
      <c r="M60" s="929"/>
      <c r="N60" s="930"/>
      <c r="O60" s="929"/>
      <c r="P60" s="930"/>
      <c r="Q60" s="929"/>
      <c r="R60" s="930">
        <v>6.6</v>
      </c>
      <c r="S60" s="929"/>
      <c r="T60" s="930">
        <v>7.4</v>
      </c>
      <c r="U60" s="933"/>
      <c r="V60" s="940"/>
      <c r="W60" s="940"/>
      <c r="X60" s="933" t="s">
        <v>640</v>
      </c>
    </row>
    <row r="61" spans="1:24" x14ac:dyDescent="0.35">
      <c r="A61" s="921"/>
      <c r="B61" s="511">
        <v>10</v>
      </c>
      <c r="C61" s="921" t="s">
        <v>734</v>
      </c>
      <c r="D61" s="922">
        <v>1</v>
      </c>
      <c r="E61" s="921">
        <v>50.134999999999998</v>
      </c>
      <c r="F61" s="921">
        <v>56.481000000000002</v>
      </c>
      <c r="G61" s="921">
        <f t="shared" si="2"/>
        <v>6.3460000000000036</v>
      </c>
      <c r="H61" s="943" t="s">
        <v>735</v>
      </c>
      <c r="I61" s="981"/>
      <c r="J61" s="981"/>
      <c r="K61" s="981"/>
      <c r="L61" s="982"/>
      <c r="M61" s="983"/>
      <c r="N61" s="984"/>
      <c r="O61" s="985"/>
      <c r="P61" s="947"/>
      <c r="Q61" s="985"/>
      <c r="R61" s="928">
        <v>2</v>
      </c>
      <c r="S61" s="985"/>
      <c r="T61" s="947"/>
      <c r="U61" s="986"/>
      <c r="V61" s="987">
        <v>2.2999999999999998</v>
      </c>
      <c r="W61" s="987"/>
      <c r="X61" s="933" t="s">
        <v>736</v>
      </c>
    </row>
    <row r="62" spans="1:24" ht="29" x14ac:dyDescent="0.35">
      <c r="A62" s="921"/>
      <c r="B62" s="921">
        <v>6</v>
      </c>
      <c r="C62" s="921" t="s">
        <v>200</v>
      </c>
      <c r="D62" s="936">
        <v>1</v>
      </c>
      <c r="E62" s="921">
        <v>57.500999999999998</v>
      </c>
      <c r="F62" s="921">
        <v>59.192</v>
      </c>
      <c r="G62" s="921">
        <f t="shared" si="2"/>
        <v>1.6910000000000025</v>
      </c>
      <c r="H62" s="943" t="s">
        <v>170</v>
      </c>
      <c r="I62" s="938" t="s">
        <v>178</v>
      </c>
      <c r="J62" s="938" t="s">
        <v>737</v>
      </c>
      <c r="K62" s="925"/>
      <c r="L62" s="926" t="s">
        <v>738</v>
      </c>
      <c r="M62" s="927"/>
      <c r="N62" s="928"/>
      <c r="O62" s="927"/>
      <c r="P62" s="928"/>
      <c r="Q62" s="927"/>
      <c r="R62" s="928">
        <v>1.2</v>
      </c>
      <c r="S62" s="927"/>
      <c r="T62" s="928"/>
      <c r="U62" s="931"/>
      <c r="V62" s="932"/>
      <c r="W62" s="932"/>
      <c r="X62" s="933" t="s">
        <v>739</v>
      </c>
    </row>
    <row r="63" spans="1:24" x14ac:dyDescent="0.35">
      <c r="A63" s="988"/>
      <c r="B63" s="989"/>
      <c r="C63" s="989"/>
      <c r="D63" s="990"/>
      <c r="E63" s="989"/>
      <c r="F63" s="989"/>
      <c r="G63" s="989"/>
      <c r="H63" s="989"/>
      <c r="I63" s="991"/>
      <c r="J63" s="991"/>
      <c r="K63" s="992"/>
      <c r="L63" s="955"/>
      <c r="M63" s="988"/>
      <c r="N63" s="988"/>
      <c r="O63" s="988"/>
      <c r="P63" s="988"/>
      <c r="Q63" s="988"/>
      <c r="R63" s="988"/>
      <c r="S63" s="988"/>
      <c r="T63" s="988"/>
      <c r="U63" s="988"/>
      <c r="V63" s="988"/>
      <c r="W63" s="988"/>
      <c r="X63" s="993"/>
    </row>
    <row r="64" spans="1:24" x14ac:dyDescent="0.35">
      <c r="A64" s="192" t="s">
        <v>740</v>
      </c>
      <c r="C64" s="211"/>
      <c r="D64" s="211"/>
      <c r="E64" s="211"/>
      <c r="F64" s="994" t="s">
        <v>741</v>
      </c>
      <c r="G64" s="958"/>
      <c r="H64" s="958"/>
      <c r="I64" s="958"/>
      <c r="J64" s="991"/>
      <c r="K64" s="992"/>
      <c r="L64" s="955"/>
      <c r="M64" s="988"/>
      <c r="N64" s="988"/>
      <c r="O64" s="988"/>
      <c r="P64" s="988"/>
      <c r="Q64" s="988"/>
      <c r="R64" s="988"/>
      <c r="S64" s="988"/>
      <c r="T64" s="988"/>
      <c r="U64" s="988"/>
      <c r="V64" s="988"/>
      <c r="W64" s="988"/>
      <c r="X64" s="993"/>
    </row>
    <row r="65" spans="1:24" ht="43.5" x14ac:dyDescent="0.35">
      <c r="A65" s="959">
        <v>20</v>
      </c>
      <c r="B65" s="959">
        <v>59</v>
      </c>
      <c r="C65" s="959" t="s">
        <v>185</v>
      </c>
      <c r="D65" s="960">
        <v>1</v>
      </c>
      <c r="E65" s="959">
        <v>16.853000000000002</v>
      </c>
      <c r="F65" s="959">
        <v>21.045000000000002</v>
      </c>
      <c r="G65" s="959">
        <f>F65-E65</f>
        <v>4.1920000000000002</v>
      </c>
      <c r="H65" s="943" t="s">
        <v>170</v>
      </c>
      <c r="I65" s="961" t="s">
        <v>652</v>
      </c>
      <c r="J65" s="961" t="s">
        <v>742</v>
      </c>
      <c r="K65" s="962">
        <v>61</v>
      </c>
      <c r="L65" s="969" t="s">
        <v>743</v>
      </c>
      <c r="M65" s="964"/>
      <c r="N65" s="965"/>
      <c r="O65" s="964"/>
      <c r="P65" s="965"/>
      <c r="Q65" s="995">
        <v>0.89</v>
      </c>
      <c r="R65" s="996"/>
      <c r="S65" s="995">
        <v>0.64</v>
      </c>
      <c r="T65" s="965">
        <v>1.53</v>
      </c>
      <c r="U65" s="976"/>
      <c r="V65" s="977"/>
      <c r="W65" s="977"/>
      <c r="X65" s="976" t="s">
        <v>744</v>
      </c>
    </row>
    <row r="66" spans="1:24" ht="43.5" x14ac:dyDescent="0.35">
      <c r="A66" s="959">
        <v>62</v>
      </c>
      <c r="B66" s="959">
        <v>65</v>
      </c>
      <c r="C66" s="959" t="s">
        <v>216</v>
      </c>
      <c r="D66" s="960">
        <v>1</v>
      </c>
      <c r="E66" s="959">
        <v>35.006999999999998</v>
      </c>
      <c r="F66" s="959">
        <v>43.4</v>
      </c>
      <c r="G66" s="959">
        <f t="shared" ref="G66:G80" si="3">F66-E66</f>
        <v>8.3930000000000007</v>
      </c>
      <c r="H66" s="941" t="s">
        <v>648</v>
      </c>
      <c r="I66" s="961" t="s">
        <v>658</v>
      </c>
      <c r="J66" s="961" t="s">
        <v>713</v>
      </c>
      <c r="K66" s="962">
        <v>48</v>
      </c>
      <c r="L66" s="969"/>
      <c r="M66" s="970"/>
      <c r="N66" s="971"/>
      <c r="O66" s="970"/>
      <c r="P66" s="971"/>
      <c r="Q66" s="970">
        <v>2.5299999999999998</v>
      </c>
      <c r="R66" s="971"/>
      <c r="S66" s="970"/>
      <c r="T66" s="971">
        <v>2.54</v>
      </c>
      <c r="U66" s="974"/>
      <c r="V66" s="975"/>
      <c r="W66" s="975"/>
      <c r="X66" s="976" t="s">
        <v>745</v>
      </c>
    </row>
    <row r="67" spans="1:24" ht="15" customHeight="1" x14ac:dyDescent="0.35">
      <c r="A67" s="959">
        <v>96</v>
      </c>
      <c r="B67" s="959">
        <v>88</v>
      </c>
      <c r="C67" s="959" t="s">
        <v>197</v>
      </c>
      <c r="D67" s="960">
        <v>1</v>
      </c>
      <c r="E67" s="959">
        <v>21.303999999999998</v>
      </c>
      <c r="F67" s="959">
        <v>25.484000000000002</v>
      </c>
      <c r="G67" s="959">
        <f t="shared" si="3"/>
        <v>4.1800000000000033</v>
      </c>
      <c r="H67" s="937" t="s">
        <v>641</v>
      </c>
      <c r="I67" s="961" t="s">
        <v>646</v>
      </c>
      <c r="J67" s="961" t="s">
        <v>647</v>
      </c>
      <c r="K67" s="962">
        <v>40</v>
      </c>
      <c r="L67" s="963"/>
      <c r="M67" s="964"/>
      <c r="N67" s="965"/>
      <c r="O67" s="970"/>
      <c r="P67" s="965"/>
      <c r="Q67" s="964"/>
      <c r="R67" s="965"/>
      <c r="S67" s="964">
        <v>1.5</v>
      </c>
      <c r="T67" s="965">
        <v>1.5</v>
      </c>
      <c r="U67" s="976"/>
      <c r="V67" s="977"/>
      <c r="W67" s="977"/>
      <c r="X67" s="976" t="s">
        <v>676</v>
      </c>
    </row>
    <row r="68" spans="1:24" ht="162" customHeight="1" x14ac:dyDescent="0.35">
      <c r="A68" s="959">
        <v>95</v>
      </c>
      <c r="B68" s="959">
        <v>69</v>
      </c>
      <c r="C68" s="959" t="s">
        <v>236</v>
      </c>
      <c r="D68" s="960">
        <v>1</v>
      </c>
      <c r="E68" s="959">
        <v>57.198</v>
      </c>
      <c r="F68" s="959">
        <v>65.344999999999999</v>
      </c>
      <c r="G68" s="959">
        <f t="shared" si="3"/>
        <v>8.1469999999999985</v>
      </c>
      <c r="H68" s="941" t="s">
        <v>648</v>
      </c>
      <c r="I68" s="961" t="s">
        <v>746</v>
      </c>
      <c r="J68" s="961" t="s">
        <v>747</v>
      </c>
      <c r="K68" s="962">
        <v>40</v>
      </c>
      <c r="L68" s="969"/>
      <c r="M68" s="970"/>
      <c r="N68" s="971"/>
      <c r="O68" s="970"/>
      <c r="P68" s="971"/>
      <c r="Q68" s="970"/>
      <c r="R68" s="971"/>
      <c r="S68" s="970">
        <v>1.74</v>
      </c>
      <c r="T68" s="971">
        <v>1.55</v>
      </c>
      <c r="U68" s="974">
        <v>1.32</v>
      </c>
      <c r="V68" s="975"/>
      <c r="W68" s="975"/>
      <c r="X68" s="976" t="s">
        <v>748</v>
      </c>
    </row>
    <row r="69" spans="1:24" ht="15" customHeight="1" x14ac:dyDescent="0.35">
      <c r="A69" s="959">
        <v>98</v>
      </c>
      <c r="B69" s="959">
        <v>51</v>
      </c>
      <c r="C69" s="959" t="s">
        <v>244</v>
      </c>
      <c r="D69" s="960">
        <v>1</v>
      </c>
      <c r="E69" s="959">
        <v>35.808999999999997</v>
      </c>
      <c r="F69" s="959">
        <v>43.018999999999998</v>
      </c>
      <c r="G69" s="959">
        <f t="shared" si="3"/>
        <v>7.2100000000000009</v>
      </c>
      <c r="H69" s="941" t="s">
        <v>648</v>
      </c>
      <c r="I69" s="961" t="s">
        <v>673</v>
      </c>
      <c r="J69" s="961" t="s">
        <v>749</v>
      </c>
      <c r="K69" s="962">
        <v>39</v>
      </c>
      <c r="L69" s="969"/>
      <c r="M69" s="970"/>
      <c r="N69" s="971"/>
      <c r="O69" s="970"/>
      <c r="P69" s="971"/>
      <c r="Q69" s="970"/>
      <c r="R69" s="971"/>
      <c r="S69" s="970">
        <v>2.5</v>
      </c>
      <c r="T69" s="972">
        <v>2.5</v>
      </c>
      <c r="U69" s="974"/>
      <c r="V69" s="997"/>
      <c r="W69" s="997"/>
      <c r="X69" s="976" t="s">
        <v>640</v>
      </c>
    </row>
    <row r="70" spans="1:24" ht="43.5" x14ac:dyDescent="0.35">
      <c r="A70" s="959">
        <v>115</v>
      </c>
      <c r="B70" s="959">
        <v>13105</v>
      </c>
      <c r="C70" s="959" t="s">
        <v>250</v>
      </c>
      <c r="D70" s="960">
        <v>1</v>
      </c>
      <c r="E70" s="959">
        <v>0.13</v>
      </c>
      <c r="F70" s="959">
        <v>5.3979999999999997</v>
      </c>
      <c r="G70" s="959">
        <f t="shared" si="3"/>
        <v>5.2679999999999998</v>
      </c>
      <c r="H70" s="937" t="s">
        <v>641</v>
      </c>
      <c r="I70" s="961" t="s">
        <v>642</v>
      </c>
      <c r="J70" s="961" t="s">
        <v>750</v>
      </c>
      <c r="K70" s="962">
        <v>37</v>
      </c>
      <c r="L70" s="963" t="s">
        <v>751</v>
      </c>
      <c r="M70" s="964"/>
      <c r="N70" s="965"/>
      <c r="O70" s="964"/>
      <c r="P70" s="965"/>
      <c r="Q70" s="964">
        <v>1.32</v>
      </c>
      <c r="R70" s="973"/>
      <c r="S70" s="964"/>
      <c r="T70" s="965">
        <v>1.32</v>
      </c>
      <c r="U70" s="976"/>
      <c r="V70" s="977"/>
      <c r="W70" s="977"/>
      <c r="X70" s="976" t="s">
        <v>752</v>
      </c>
    </row>
    <row r="71" spans="1:24" ht="15" customHeight="1" x14ac:dyDescent="0.35">
      <c r="A71" s="921">
        <v>113</v>
      </c>
      <c r="B71" s="921">
        <v>69</v>
      </c>
      <c r="C71" s="921" t="s">
        <v>236</v>
      </c>
      <c r="D71" s="935">
        <v>1</v>
      </c>
      <c r="E71" s="936">
        <v>9.41</v>
      </c>
      <c r="F71" s="936">
        <v>22.07</v>
      </c>
      <c r="G71" s="921">
        <f t="shared" si="3"/>
        <v>12.66</v>
      </c>
      <c r="H71" s="941" t="s">
        <v>648</v>
      </c>
      <c r="I71" s="938" t="s">
        <v>649</v>
      </c>
      <c r="J71" s="938" t="s">
        <v>753</v>
      </c>
      <c r="K71" s="925">
        <v>37</v>
      </c>
      <c r="L71" s="942"/>
      <c r="M71" s="927"/>
      <c r="N71" s="928"/>
      <c r="O71" s="927"/>
      <c r="P71" s="928"/>
      <c r="Q71" s="927"/>
      <c r="R71" s="928"/>
      <c r="S71" s="927">
        <v>4.76</v>
      </c>
      <c r="T71" s="928">
        <v>4.76</v>
      </c>
      <c r="U71" s="931"/>
      <c r="V71" s="932"/>
      <c r="W71" s="932"/>
      <c r="X71" s="931" t="s">
        <v>640</v>
      </c>
    </row>
    <row r="72" spans="1:24" ht="43.5" x14ac:dyDescent="0.35">
      <c r="A72" s="921">
        <v>123</v>
      </c>
      <c r="B72" s="921">
        <v>11412</v>
      </c>
      <c r="C72" s="921" t="s">
        <v>252</v>
      </c>
      <c r="D72" s="922">
        <v>1</v>
      </c>
      <c r="E72" s="921">
        <v>0</v>
      </c>
      <c r="F72" s="921">
        <v>5.1559999999999997</v>
      </c>
      <c r="G72" s="959">
        <f t="shared" si="3"/>
        <v>5.1559999999999997</v>
      </c>
      <c r="H72" s="923" t="s">
        <v>636</v>
      </c>
      <c r="I72" s="924" t="s">
        <v>637</v>
      </c>
      <c r="J72" s="924" t="s">
        <v>754</v>
      </c>
      <c r="K72" s="925">
        <v>36</v>
      </c>
      <c r="L72" s="926"/>
      <c r="M72" s="929"/>
      <c r="N72" s="930"/>
      <c r="O72" s="929"/>
      <c r="P72" s="930"/>
      <c r="Q72" s="929">
        <v>1.8</v>
      </c>
      <c r="R72" s="947"/>
      <c r="S72" s="929"/>
      <c r="T72" s="930">
        <v>1.8</v>
      </c>
      <c r="U72" s="933"/>
      <c r="V72" s="940"/>
      <c r="W72" s="940"/>
      <c r="X72" s="933" t="s">
        <v>755</v>
      </c>
    </row>
    <row r="73" spans="1:24" ht="29" x14ac:dyDescent="0.35">
      <c r="A73" s="921">
        <v>136</v>
      </c>
      <c r="B73" s="921">
        <v>88</v>
      </c>
      <c r="C73" s="921" t="s">
        <v>197</v>
      </c>
      <c r="D73" s="935">
        <v>1</v>
      </c>
      <c r="E73" s="936">
        <v>25.484000000000002</v>
      </c>
      <c r="F73" s="936">
        <v>33.073</v>
      </c>
      <c r="G73" s="959">
        <f t="shared" si="3"/>
        <v>7.5889999999999986</v>
      </c>
      <c r="H73" s="937" t="s">
        <v>641</v>
      </c>
      <c r="I73" s="938" t="s">
        <v>646</v>
      </c>
      <c r="J73" s="938" t="s">
        <v>647</v>
      </c>
      <c r="K73" s="925">
        <v>34</v>
      </c>
      <c r="L73" s="926"/>
      <c r="M73" s="929"/>
      <c r="N73" s="930"/>
      <c r="O73" s="927"/>
      <c r="P73" s="930"/>
      <c r="Q73" s="929"/>
      <c r="R73" s="930"/>
      <c r="S73" s="929">
        <v>2.7</v>
      </c>
      <c r="T73" s="930">
        <v>2.7</v>
      </c>
      <c r="U73" s="933"/>
      <c r="V73" s="940"/>
      <c r="W73" s="940"/>
      <c r="X73" s="933" t="s">
        <v>676</v>
      </c>
    </row>
    <row r="74" spans="1:24" ht="43.5" x14ac:dyDescent="0.35">
      <c r="A74" s="921">
        <v>150</v>
      </c>
      <c r="B74" s="921">
        <v>11304</v>
      </c>
      <c r="C74" s="921" t="s">
        <v>266</v>
      </c>
      <c r="D74" s="922">
        <v>1</v>
      </c>
      <c r="E74" s="921">
        <v>7.5999999999999998E-2</v>
      </c>
      <c r="F74" s="921">
        <v>2.609</v>
      </c>
      <c r="G74" s="959">
        <f t="shared" si="3"/>
        <v>2.5329999999999999</v>
      </c>
      <c r="H74" s="923" t="s">
        <v>636</v>
      </c>
      <c r="I74" s="924" t="s">
        <v>637</v>
      </c>
      <c r="J74" s="924" t="s">
        <v>756</v>
      </c>
      <c r="K74" s="925">
        <v>32</v>
      </c>
      <c r="L74" s="926" t="s">
        <v>757</v>
      </c>
      <c r="M74" s="929"/>
      <c r="N74" s="930"/>
      <c r="O74" s="929"/>
      <c r="P74" s="930"/>
      <c r="Q74" s="929"/>
      <c r="R74" s="930"/>
      <c r="S74" s="929">
        <v>0.7</v>
      </c>
      <c r="T74" s="930">
        <v>0.7</v>
      </c>
      <c r="U74" s="998"/>
      <c r="V74" s="940"/>
      <c r="W74" s="940"/>
      <c r="X74" s="933" t="s">
        <v>640</v>
      </c>
    </row>
    <row r="75" spans="1:24" ht="29" x14ac:dyDescent="0.35">
      <c r="A75" s="921">
        <v>147</v>
      </c>
      <c r="B75" s="921">
        <v>52</v>
      </c>
      <c r="C75" s="921" t="s">
        <v>249</v>
      </c>
      <c r="D75" s="922">
        <v>1</v>
      </c>
      <c r="E75" s="921">
        <v>7</v>
      </c>
      <c r="F75" s="921">
        <v>22.097999999999999</v>
      </c>
      <c r="G75" s="959">
        <f t="shared" si="3"/>
        <v>15.097999999999999</v>
      </c>
      <c r="H75" s="943" t="s">
        <v>170</v>
      </c>
      <c r="I75" s="924" t="s">
        <v>668</v>
      </c>
      <c r="J75" s="924" t="s">
        <v>758</v>
      </c>
      <c r="K75" s="925">
        <v>32</v>
      </c>
      <c r="L75" s="942"/>
      <c r="M75" s="927"/>
      <c r="N75" s="928"/>
      <c r="O75" s="999"/>
      <c r="P75" s="946"/>
      <c r="Q75" s="927"/>
      <c r="R75" s="928"/>
      <c r="S75" s="927">
        <v>5.3</v>
      </c>
      <c r="T75" s="928">
        <v>4.5999999999999996</v>
      </c>
      <c r="U75" s="986"/>
      <c r="V75" s="932"/>
      <c r="W75" s="932"/>
      <c r="X75" s="933" t="s">
        <v>759</v>
      </c>
    </row>
    <row r="76" spans="1:24" ht="43.5" x14ac:dyDescent="0.35">
      <c r="A76" s="921">
        <v>163</v>
      </c>
      <c r="B76" s="921">
        <v>11310</v>
      </c>
      <c r="C76" s="921" t="s">
        <v>260</v>
      </c>
      <c r="D76" s="921">
        <v>1</v>
      </c>
      <c r="E76" s="921">
        <v>11.602</v>
      </c>
      <c r="F76" s="921">
        <v>17.8</v>
      </c>
      <c r="G76" s="959">
        <f t="shared" si="3"/>
        <v>6.1980000000000004</v>
      </c>
      <c r="H76" s="1000" t="s">
        <v>636</v>
      </c>
      <c r="I76" s="924" t="s">
        <v>637</v>
      </c>
      <c r="J76" s="924" t="s">
        <v>760</v>
      </c>
      <c r="K76" s="925">
        <v>29</v>
      </c>
      <c r="L76" s="926"/>
      <c r="M76" s="929"/>
      <c r="N76" s="930"/>
      <c r="O76" s="929"/>
      <c r="P76" s="930"/>
      <c r="Q76" s="929"/>
      <c r="R76" s="930"/>
      <c r="S76" s="929">
        <v>1.8</v>
      </c>
      <c r="T76" s="930">
        <v>1.8</v>
      </c>
      <c r="U76" s="998"/>
      <c r="V76" s="940"/>
      <c r="W76" s="940"/>
      <c r="X76" s="933" t="s">
        <v>640</v>
      </c>
    </row>
    <row r="77" spans="1:24" ht="43.5" x14ac:dyDescent="0.35">
      <c r="A77" s="921">
        <v>191</v>
      </c>
      <c r="B77" s="921">
        <v>77</v>
      </c>
      <c r="C77" s="921" t="s">
        <v>257</v>
      </c>
      <c r="D77" s="936">
        <v>1</v>
      </c>
      <c r="E77" s="921">
        <v>11.226000000000001</v>
      </c>
      <c r="F77" s="936">
        <v>21.201000000000001</v>
      </c>
      <c r="G77" s="959">
        <f t="shared" si="3"/>
        <v>9.9749999999999996</v>
      </c>
      <c r="H77" s="943" t="s">
        <v>170</v>
      </c>
      <c r="I77" s="924" t="s">
        <v>761</v>
      </c>
      <c r="J77" s="938" t="s">
        <v>762</v>
      </c>
      <c r="K77" s="925" t="s">
        <v>763</v>
      </c>
      <c r="L77" s="942"/>
      <c r="M77" s="927"/>
      <c r="N77" s="942"/>
      <c r="O77" s="929"/>
      <c r="P77" s="930"/>
      <c r="Q77" s="929"/>
      <c r="R77" s="930"/>
      <c r="S77" s="927"/>
      <c r="T77" s="928">
        <v>3.5</v>
      </c>
      <c r="U77" s="998"/>
      <c r="V77" s="1001"/>
      <c r="W77" s="1001"/>
      <c r="X77" s="933" t="s">
        <v>764</v>
      </c>
    </row>
    <row r="78" spans="1:24" ht="29" x14ac:dyDescent="0.35">
      <c r="A78" s="921">
        <v>209</v>
      </c>
      <c r="B78" s="921">
        <v>17</v>
      </c>
      <c r="C78" s="921" t="s">
        <v>209</v>
      </c>
      <c r="D78" s="921">
        <v>1</v>
      </c>
      <c r="E78" s="921">
        <v>34.793999999999997</v>
      </c>
      <c r="F78" s="921">
        <v>44.694000000000003</v>
      </c>
      <c r="G78" s="959">
        <f t="shared" si="3"/>
        <v>9.9000000000000057</v>
      </c>
      <c r="H78" s="943" t="s">
        <v>170</v>
      </c>
      <c r="I78" s="924" t="s">
        <v>685</v>
      </c>
      <c r="J78" s="924" t="s">
        <v>765</v>
      </c>
      <c r="K78" s="925">
        <v>24</v>
      </c>
      <c r="L78" s="942"/>
      <c r="M78" s="927"/>
      <c r="N78" s="928"/>
      <c r="O78" s="927"/>
      <c r="P78" s="928"/>
      <c r="Q78" s="927">
        <v>1.25</v>
      </c>
      <c r="R78" s="928">
        <v>1.3</v>
      </c>
      <c r="S78" s="927">
        <v>2.25</v>
      </c>
      <c r="T78" s="928">
        <v>2.25</v>
      </c>
      <c r="U78" s="931"/>
      <c r="V78" s="932"/>
      <c r="W78" s="932"/>
      <c r="X78" s="933" t="s">
        <v>676</v>
      </c>
    </row>
    <row r="79" spans="1:24" ht="58" x14ac:dyDescent="0.35">
      <c r="A79" s="921">
        <v>146</v>
      </c>
      <c r="B79" s="921">
        <v>49</v>
      </c>
      <c r="C79" s="921" t="s">
        <v>219</v>
      </c>
      <c r="D79" s="921">
        <v>1</v>
      </c>
      <c r="E79" s="921">
        <v>64.715000000000003</v>
      </c>
      <c r="F79" s="921">
        <v>71.566999999999993</v>
      </c>
      <c r="G79" s="959">
        <f t="shared" si="3"/>
        <v>6.8519999999999897</v>
      </c>
      <c r="H79" s="943" t="s">
        <v>170</v>
      </c>
      <c r="I79" s="924" t="s">
        <v>668</v>
      </c>
      <c r="J79" s="924" t="s">
        <v>766</v>
      </c>
      <c r="K79" s="925"/>
      <c r="L79" s="942"/>
      <c r="M79" s="927"/>
      <c r="N79" s="928"/>
      <c r="O79" s="927"/>
      <c r="P79" s="928"/>
      <c r="Q79" s="927"/>
      <c r="R79" s="928"/>
      <c r="S79" s="927">
        <v>1.7</v>
      </c>
      <c r="T79" s="928">
        <v>1.1000000000000001</v>
      </c>
      <c r="U79" s="931">
        <v>1.3</v>
      </c>
      <c r="V79" s="932"/>
      <c r="W79" s="932"/>
      <c r="X79" s="933" t="s">
        <v>767</v>
      </c>
    </row>
    <row r="80" spans="1:24" ht="136.5" customHeight="1" x14ac:dyDescent="0.35">
      <c r="A80" s="921"/>
      <c r="B80" s="921">
        <v>78</v>
      </c>
      <c r="C80" s="921" t="s">
        <v>768</v>
      </c>
      <c r="D80" s="936">
        <v>1</v>
      </c>
      <c r="E80" s="921">
        <v>2.83</v>
      </c>
      <c r="F80" s="936">
        <v>8.1999999999999993</v>
      </c>
      <c r="G80" s="959">
        <f t="shared" si="3"/>
        <v>5.3699999999999992</v>
      </c>
      <c r="H80" s="943" t="s">
        <v>170</v>
      </c>
      <c r="I80" s="938" t="s">
        <v>769</v>
      </c>
      <c r="J80" s="949"/>
      <c r="K80" s="925"/>
      <c r="L80" s="942"/>
      <c r="M80" s="927"/>
      <c r="N80" s="928"/>
      <c r="O80" s="927"/>
      <c r="P80" s="928"/>
      <c r="Q80" s="927"/>
      <c r="R80" s="928"/>
      <c r="S80" s="927"/>
      <c r="T80" s="928">
        <v>1.9</v>
      </c>
      <c r="U80" s="931"/>
      <c r="V80" s="932"/>
      <c r="W80" s="932"/>
      <c r="X80" s="933" t="s">
        <v>770</v>
      </c>
    </row>
    <row r="81" spans="1:25" x14ac:dyDescent="0.35">
      <c r="M81" s="53"/>
      <c r="N81" s="53"/>
      <c r="O81" s="957"/>
      <c r="P81" s="957"/>
      <c r="Q81" s="957"/>
      <c r="R81" s="957"/>
      <c r="S81" s="957"/>
      <c r="T81" s="957"/>
      <c r="U81" s="53"/>
    </row>
    <row r="82" spans="1:25" x14ac:dyDescent="0.35">
      <c r="A82" s="192" t="s">
        <v>771</v>
      </c>
      <c r="C82" s="211"/>
      <c r="D82" s="211"/>
      <c r="E82" s="211"/>
      <c r="F82" s="994" t="s">
        <v>772</v>
      </c>
      <c r="G82" s="958"/>
      <c r="H82" s="958"/>
      <c r="I82" s="958"/>
      <c r="M82" s="53"/>
      <c r="N82" s="53"/>
      <c r="O82" s="957"/>
      <c r="P82" s="957"/>
      <c r="Q82" s="957"/>
      <c r="R82" s="957"/>
      <c r="S82" s="957"/>
      <c r="T82" s="957"/>
      <c r="U82" s="53"/>
    </row>
    <row r="83" spans="1:25" s="211" customFormat="1" ht="62.25" customHeight="1" x14ac:dyDescent="0.35">
      <c r="A83" s="959">
        <v>49</v>
      </c>
      <c r="B83" s="959">
        <v>19214</v>
      </c>
      <c r="C83" s="959" t="s">
        <v>773</v>
      </c>
      <c r="D83" s="960">
        <v>1</v>
      </c>
      <c r="E83" s="959">
        <v>0</v>
      </c>
      <c r="F83" s="959">
        <v>2.1469999999999998</v>
      </c>
      <c r="G83" s="959">
        <f>F83-E83</f>
        <v>2.1469999999999998</v>
      </c>
      <c r="H83" s="1002" t="s">
        <v>170</v>
      </c>
      <c r="I83" s="961" t="s">
        <v>652</v>
      </c>
      <c r="J83" s="961" t="s">
        <v>774</v>
      </c>
      <c r="K83" s="962">
        <v>50</v>
      </c>
      <c r="L83" s="1003"/>
      <c r="M83" s="970"/>
      <c r="N83" s="971"/>
      <c r="O83" s="970"/>
      <c r="P83" s="971"/>
      <c r="Q83" s="970">
        <v>0.75</v>
      </c>
      <c r="R83" s="971"/>
      <c r="S83" s="970"/>
      <c r="T83" s="971"/>
      <c r="U83" s="966">
        <v>0.75144999999999984</v>
      </c>
      <c r="V83" s="1004"/>
      <c r="W83" s="1004"/>
      <c r="X83" s="976" t="s">
        <v>775</v>
      </c>
      <c r="Y83" s="934"/>
    </row>
    <row r="84" spans="1:25" ht="29" x14ac:dyDescent="0.35">
      <c r="A84" s="959">
        <v>93</v>
      </c>
      <c r="B84" s="959">
        <v>88</v>
      </c>
      <c r="C84" s="959" t="s">
        <v>197</v>
      </c>
      <c r="D84" s="960">
        <v>1</v>
      </c>
      <c r="E84" s="959">
        <v>10.256</v>
      </c>
      <c r="F84" s="959">
        <v>21.303999999999998</v>
      </c>
      <c r="G84" s="959">
        <f t="shared" ref="G84:G100" si="4">F84-E84</f>
        <v>11.047999999999998</v>
      </c>
      <c r="H84" s="937" t="s">
        <v>641</v>
      </c>
      <c r="I84" s="961" t="s">
        <v>646</v>
      </c>
      <c r="J84" s="961" t="s">
        <v>776</v>
      </c>
      <c r="K84" s="962" t="s">
        <v>777</v>
      </c>
      <c r="L84" s="1005"/>
      <c r="M84" s="964"/>
      <c r="N84" s="965"/>
      <c r="O84" s="970"/>
      <c r="P84" s="965"/>
      <c r="Q84" s="964"/>
      <c r="R84" s="965"/>
      <c r="S84" s="964"/>
      <c r="T84" s="965"/>
      <c r="U84" s="976">
        <v>3.89</v>
      </c>
      <c r="V84" s="1006"/>
      <c r="W84" s="1006"/>
      <c r="X84" s="976" t="s">
        <v>778</v>
      </c>
    </row>
    <row r="85" spans="1:25" ht="29" x14ac:dyDescent="0.35">
      <c r="A85" s="959">
        <v>112</v>
      </c>
      <c r="B85" s="959">
        <v>69</v>
      </c>
      <c r="C85" s="959" t="s">
        <v>236</v>
      </c>
      <c r="D85" s="960">
        <v>1</v>
      </c>
      <c r="E85" s="959">
        <v>21.808</v>
      </c>
      <c r="F85" s="959">
        <v>34.664000000000001</v>
      </c>
      <c r="G85" s="959">
        <f t="shared" si="4"/>
        <v>12.856000000000002</v>
      </c>
      <c r="H85" s="941" t="s">
        <v>648</v>
      </c>
      <c r="I85" s="961" t="s">
        <v>779</v>
      </c>
      <c r="J85" s="961" t="s">
        <v>780</v>
      </c>
      <c r="K85" s="962" t="s">
        <v>781</v>
      </c>
      <c r="L85" s="1003"/>
      <c r="M85" s="970"/>
      <c r="N85" s="971"/>
      <c r="O85" s="970"/>
      <c r="P85" s="971"/>
      <c r="Q85" s="970"/>
      <c r="R85" s="971"/>
      <c r="S85" s="970"/>
      <c r="T85" s="971"/>
      <c r="U85" s="974">
        <v>3.2</v>
      </c>
      <c r="V85" s="1007"/>
      <c r="W85" s="1007"/>
      <c r="X85" s="976" t="s">
        <v>782</v>
      </c>
      <c r="Y85" s="934"/>
    </row>
    <row r="86" spans="1:25" s="211" customFormat="1" ht="29" x14ac:dyDescent="0.35">
      <c r="A86" s="959">
        <v>86</v>
      </c>
      <c r="B86" s="959">
        <v>57</v>
      </c>
      <c r="C86" s="959" t="s">
        <v>169</v>
      </c>
      <c r="D86" s="960">
        <v>1</v>
      </c>
      <c r="E86" s="959">
        <v>22.640999999999998</v>
      </c>
      <c r="F86" s="959">
        <v>32.691000000000003</v>
      </c>
      <c r="G86" s="959">
        <f t="shared" si="4"/>
        <v>10.050000000000004</v>
      </c>
      <c r="H86" s="943" t="s">
        <v>170</v>
      </c>
      <c r="I86" s="961" t="s">
        <v>783</v>
      </c>
      <c r="J86" s="961" t="s">
        <v>784</v>
      </c>
      <c r="K86" s="962">
        <v>42</v>
      </c>
      <c r="L86" s="1003"/>
      <c r="M86" s="970"/>
      <c r="N86" s="971"/>
      <c r="O86" s="970"/>
      <c r="P86" s="971"/>
      <c r="Q86" s="970"/>
      <c r="R86" s="971"/>
      <c r="S86" s="970"/>
      <c r="T86" s="972"/>
      <c r="U86" s="974">
        <v>2</v>
      </c>
      <c r="V86" s="1007"/>
      <c r="W86" s="1007"/>
      <c r="X86" s="976" t="s">
        <v>778</v>
      </c>
      <c r="Y86" s="934"/>
    </row>
    <row r="87" spans="1:25" s="211" customFormat="1" ht="29" x14ac:dyDescent="0.35">
      <c r="A87" s="959">
        <v>83</v>
      </c>
      <c r="B87" s="959">
        <v>61</v>
      </c>
      <c r="C87" s="959" t="s">
        <v>208</v>
      </c>
      <c r="D87" s="960">
        <v>1</v>
      </c>
      <c r="E87" s="959">
        <v>30.478000000000002</v>
      </c>
      <c r="F87" s="959">
        <v>37.058999999999997</v>
      </c>
      <c r="G87" s="959">
        <f t="shared" si="4"/>
        <v>6.580999999999996</v>
      </c>
      <c r="H87" s="1008" t="s">
        <v>648</v>
      </c>
      <c r="I87" s="961" t="s">
        <v>785</v>
      </c>
      <c r="J87" s="961" t="s">
        <v>786</v>
      </c>
      <c r="K87" s="962">
        <v>42</v>
      </c>
      <c r="L87" s="1003"/>
      <c r="M87" s="970"/>
      <c r="N87" s="971"/>
      <c r="O87" s="970"/>
      <c r="P87" s="971"/>
      <c r="Q87" s="970"/>
      <c r="R87" s="971"/>
      <c r="S87" s="970"/>
      <c r="T87" s="971"/>
      <c r="U87" s="1009">
        <v>2.2999999999999998</v>
      </c>
      <c r="V87" s="1007"/>
      <c r="W87" s="1007"/>
      <c r="X87" s="976" t="s">
        <v>778</v>
      </c>
      <c r="Y87" s="934"/>
    </row>
    <row r="88" spans="1:25" ht="58" x14ac:dyDescent="0.35">
      <c r="A88" s="921">
        <v>85</v>
      </c>
      <c r="B88" s="921">
        <v>52</v>
      </c>
      <c r="C88" s="921" t="s">
        <v>249</v>
      </c>
      <c r="D88" s="922">
        <v>1</v>
      </c>
      <c r="E88" s="921">
        <v>28.495000000000001</v>
      </c>
      <c r="F88" s="921">
        <v>37.555999999999997</v>
      </c>
      <c r="G88" s="921">
        <f t="shared" si="4"/>
        <v>9.0609999999999964</v>
      </c>
      <c r="H88" s="943" t="s">
        <v>170</v>
      </c>
      <c r="I88" s="924" t="s">
        <v>668</v>
      </c>
      <c r="J88" s="924" t="s">
        <v>787</v>
      </c>
      <c r="K88" s="925">
        <v>42</v>
      </c>
      <c r="L88" s="1010"/>
      <c r="M88" s="927"/>
      <c r="N88" s="928"/>
      <c r="O88" s="927"/>
      <c r="P88" s="928"/>
      <c r="Q88" s="927"/>
      <c r="R88" s="928"/>
      <c r="S88" s="927">
        <v>4.5999999999999996</v>
      </c>
      <c r="T88" s="947"/>
      <c r="U88" s="931">
        <v>5.3</v>
      </c>
      <c r="V88" s="932"/>
      <c r="W88" s="932"/>
      <c r="X88" s="933" t="s">
        <v>788</v>
      </c>
    </row>
    <row r="89" spans="1:25" ht="35.25" customHeight="1" x14ac:dyDescent="0.35">
      <c r="A89" s="921">
        <v>89</v>
      </c>
      <c r="B89" s="921">
        <v>22140</v>
      </c>
      <c r="C89" s="921" t="s">
        <v>248</v>
      </c>
      <c r="D89" s="935">
        <v>1</v>
      </c>
      <c r="E89" s="935">
        <v>0</v>
      </c>
      <c r="F89" s="935">
        <v>8.1129999999999995</v>
      </c>
      <c r="G89" s="921">
        <f t="shared" si="4"/>
        <v>8.1129999999999995</v>
      </c>
      <c r="H89" s="948" t="s">
        <v>648</v>
      </c>
      <c r="I89" s="949" t="s">
        <v>785</v>
      </c>
      <c r="J89" s="949" t="s">
        <v>789</v>
      </c>
      <c r="K89" s="925">
        <v>41</v>
      </c>
      <c r="L89" s="1011"/>
      <c r="M89" s="927"/>
      <c r="N89" s="928"/>
      <c r="O89" s="927"/>
      <c r="P89" s="928"/>
      <c r="Q89" s="927"/>
      <c r="R89" s="928"/>
      <c r="S89" s="927"/>
      <c r="T89" s="928"/>
      <c r="U89" s="931">
        <v>3.1</v>
      </c>
      <c r="V89" s="1012"/>
      <c r="W89" s="1012"/>
      <c r="X89" s="933" t="s">
        <v>778</v>
      </c>
    </row>
    <row r="90" spans="1:25" s="211" customFormat="1" ht="29" x14ac:dyDescent="0.35">
      <c r="A90" s="921">
        <v>101</v>
      </c>
      <c r="B90" s="921">
        <v>81</v>
      </c>
      <c r="C90" s="921" t="s">
        <v>189</v>
      </c>
      <c r="D90" s="935">
        <v>1</v>
      </c>
      <c r="E90" s="936">
        <v>16.914999999999999</v>
      </c>
      <c r="F90" s="936">
        <v>21.69</v>
      </c>
      <c r="G90" s="921">
        <f t="shared" si="4"/>
        <v>4.7750000000000021</v>
      </c>
      <c r="H90" s="943" t="s">
        <v>170</v>
      </c>
      <c r="I90" s="924" t="s">
        <v>790</v>
      </c>
      <c r="J90" s="938" t="s">
        <v>791</v>
      </c>
      <c r="K90" s="925">
        <v>39</v>
      </c>
      <c r="L90" s="939" t="s">
        <v>792</v>
      </c>
      <c r="M90" s="927"/>
      <c r="N90" s="928"/>
      <c r="O90" s="927"/>
      <c r="P90" s="928"/>
      <c r="Q90" s="927"/>
      <c r="R90" s="928"/>
      <c r="S90" s="927"/>
      <c r="T90" s="928"/>
      <c r="U90" s="931">
        <v>2</v>
      </c>
      <c r="V90" s="1012"/>
      <c r="W90" s="1012"/>
      <c r="X90" s="933" t="s">
        <v>778</v>
      </c>
      <c r="Y90" s="934"/>
    </row>
    <row r="91" spans="1:25" s="211" customFormat="1" ht="72.5" x14ac:dyDescent="0.35">
      <c r="A91" s="921">
        <v>117</v>
      </c>
      <c r="B91" s="921">
        <v>11245</v>
      </c>
      <c r="C91" s="921" t="s">
        <v>263</v>
      </c>
      <c r="D91" s="922">
        <v>1</v>
      </c>
      <c r="E91" s="921">
        <v>0</v>
      </c>
      <c r="F91" s="921">
        <v>1.141</v>
      </c>
      <c r="G91" s="921">
        <f t="shared" si="4"/>
        <v>1.141</v>
      </c>
      <c r="H91" s="923" t="s">
        <v>636</v>
      </c>
      <c r="I91" s="924" t="s">
        <v>793</v>
      </c>
      <c r="J91" s="924" t="s">
        <v>794</v>
      </c>
      <c r="K91" s="925">
        <v>37</v>
      </c>
      <c r="L91" s="939" t="s">
        <v>795</v>
      </c>
      <c r="M91" s="927"/>
      <c r="N91" s="928"/>
      <c r="O91" s="927"/>
      <c r="P91" s="928"/>
      <c r="Q91" s="927"/>
      <c r="R91" s="928"/>
      <c r="S91" s="927"/>
      <c r="T91" s="928"/>
      <c r="U91" s="931">
        <v>0.4</v>
      </c>
      <c r="V91" s="1012"/>
      <c r="W91" s="1012"/>
      <c r="X91" s="933" t="s">
        <v>778</v>
      </c>
      <c r="Y91" s="934"/>
    </row>
    <row r="92" spans="1:25" ht="43.5" x14ac:dyDescent="0.35">
      <c r="A92" s="921">
        <v>142</v>
      </c>
      <c r="B92" s="921">
        <v>69</v>
      </c>
      <c r="C92" s="921" t="s">
        <v>236</v>
      </c>
      <c r="D92" s="935">
        <v>1</v>
      </c>
      <c r="E92" s="936">
        <v>50.029000000000003</v>
      </c>
      <c r="F92" s="936">
        <v>57.006</v>
      </c>
      <c r="G92" s="921">
        <f t="shared" si="4"/>
        <v>6.9769999999999968</v>
      </c>
      <c r="H92" s="941" t="s">
        <v>648</v>
      </c>
      <c r="I92" s="938" t="s">
        <v>746</v>
      </c>
      <c r="J92" s="938" t="s">
        <v>796</v>
      </c>
      <c r="K92" s="925">
        <v>33</v>
      </c>
      <c r="L92" s="1011"/>
      <c r="M92" s="927"/>
      <c r="N92" s="928"/>
      <c r="O92" s="927"/>
      <c r="P92" s="928"/>
      <c r="Q92" s="927"/>
      <c r="R92" s="928"/>
      <c r="S92" s="927">
        <v>3.1</v>
      </c>
      <c r="T92" s="928"/>
      <c r="U92" s="1013">
        <v>3.1</v>
      </c>
      <c r="V92" s="1012"/>
      <c r="W92" s="1012"/>
      <c r="X92" s="933" t="s">
        <v>797</v>
      </c>
    </row>
    <row r="93" spans="1:25" ht="43.5" x14ac:dyDescent="0.35">
      <c r="A93" s="921">
        <v>145</v>
      </c>
      <c r="B93" s="921">
        <v>46</v>
      </c>
      <c r="C93" s="921" t="s">
        <v>234</v>
      </c>
      <c r="D93" s="922">
        <v>1</v>
      </c>
      <c r="E93" s="921">
        <v>1.95</v>
      </c>
      <c r="F93" s="921">
        <v>12.97</v>
      </c>
      <c r="G93" s="921">
        <f t="shared" si="4"/>
        <v>11.020000000000001</v>
      </c>
      <c r="H93" s="941" t="s">
        <v>648</v>
      </c>
      <c r="I93" s="924" t="s">
        <v>785</v>
      </c>
      <c r="J93" s="924" t="s">
        <v>798</v>
      </c>
      <c r="K93" s="925">
        <v>32</v>
      </c>
      <c r="L93" s="1011"/>
      <c r="M93" s="927"/>
      <c r="N93" s="928"/>
      <c r="O93" s="927"/>
      <c r="P93" s="928"/>
      <c r="Q93" s="927"/>
      <c r="R93" s="928"/>
      <c r="S93" s="927">
        <v>4</v>
      </c>
      <c r="T93" s="947"/>
      <c r="U93" s="931">
        <v>4.0999999999999996</v>
      </c>
      <c r="V93" s="1014"/>
      <c r="W93" s="1014"/>
      <c r="X93" s="933" t="s">
        <v>797</v>
      </c>
    </row>
    <row r="94" spans="1:25" ht="29" x14ac:dyDescent="0.35">
      <c r="A94" s="921">
        <v>168</v>
      </c>
      <c r="B94" s="921">
        <v>62</v>
      </c>
      <c r="C94" s="921" t="s">
        <v>227</v>
      </c>
      <c r="D94" s="935">
        <v>1</v>
      </c>
      <c r="E94" s="936">
        <v>9.8119999999999994</v>
      </c>
      <c r="F94" s="936">
        <v>19.233000000000001</v>
      </c>
      <c r="G94" s="921">
        <f t="shared" si="4"/>
        <v>9.4210000000000012</v>
      </c>
      <c r="H94" s="941" t="s">
        <v>648</v>
      </c>
      <c r="I94" s="938" t="s">
        <v>658</v>
      </c>
      <c r="J94" s="938" t="s">
        <v>799</v>
      </c>
      <c r="K94" s="925">
        <v>28</v>
      </c>
      <c r="L94" s="1011"/>
      <c r="M94" s="927"/>
      <c r="N94" s="928"/>
      <c r="O94" s="927"/>
      <c r="P94" s="928"/>
      <c r="Q94" s="927"/>
      <c r="R94" s="928"/>
      <c r="S94" s="927"/>
      <c r="T94" s="928"/>
      <c r="U94" s="931">
        <v>3.21</v>
      </c>
      <c r="V94" s="1012"/>
      <c r="W94" s="1012"/>
      <c r="X94" s="933" t="s">
        <v>778</v>
      </c>
    </row>
    <row r="95" spans="1:25" ht="29" x14ac:dyDescent="0.35">
      <c r="A95" s="921">
        <v>167</v>
      </c>
      <c r="B95" s="921">
        <v>62</v>
      </c>
      <c r="C95" s="921" t="s">
        <v>227</v>
      </c>
      <c r="D95" s="935">
        <v>1</v>
      </c>
      <c r="E95" s="936">
        <v>0</v>
      </c>
      <c r="F95" s="936">
        <v>9.8119999999999994</v>
      </c>
      <c r="G95" s="921">
        <f t="shared" si="4"/>
        <v>9.8119999999999994</v>
      </c>
      <c r="H95" s="941" t="s">
        <v>648</v>
      </c>
      <c r="I95" s="938" t="s">
        <v>658</v>
      </c>
      <c r="J95" s="938" t="s">
        <v>800</v>
      </c>
      <c r="K95" s="925">
        <v>28</v>
      </c>
      <c r="L95" s="1011"/>
      <c r="M95" s="927"/>
      <c r="N95" s="928"/>
      <c r="O95" s="927"/>
      <c r="P95" s="928"/>
      <c r="Q95" s="927"/>
      <c r="R95" s="928"/>
      <c r="S95" s="927"/>
      <c r="T95" s="928"/>
      <c r="U95" s="931">
        <v>2.2000000000000002</v>
      </c>
      <c r="V95" s="1015"/>
      <c r="W95" s="1015"/>
      <c r="X95" s="933" t="s">
        <v>778</v>
      </c>
    </row>
    <row r="96" spans="1:25" ht="47.25" customHeight="1" x14ac:dyDescent="0.35">
      <c r="A96" s="921">
        <v>190</v>
      </c>
      <c r="B96" s="921">
        <v>49</v>
      </c>
      <c r="C96" s="921" t="s">
        <v>219</v>
      </c>
      <c r="D96" s="922">
        <v>1</v>
      </c>
      <c r="E96" s="921">
        <v>53.996000000000002</v>
      </c>
      <c r="F96" s="921">
        <v>58.4</v>
      </c>
      <c r="G96" s="921">
        <f t="shared" si="4"/>
        <v>4.4039999999999964</v>
      </c>
      <c r="H96" s="943" t="s">
        <v>170</v>
      </c>
      <c r="I96" s="924" t="s">
        <v>668</v>
      </c>
      <c r="J96" s="924" t="s">
        <v>801</v>
      </c>
      <c r="K96" s="925">
        <v>26</v>
      </c>
      <c r="L96" s="1011"/>
      <c r="M96" s="927"/>
      <c r="N96" s="928"/>
      <c r="O96" s="927"/>
      <c r="P96" s="928"/>
      <c r="Q96" s="927"/>
      <c r="R96" s="928"/>
      <c r="S96" s="927"/>
      <c r="T96" s="928"/>
      <c r="U96" s="931">
        <v>1.8</v>
      </c>
      <c r="V96" s="1012"/>
      <c r="W96" s="1012"/>
      <c r="X96" s="933" t="s">
        <v>778</v>
      </c>
    </row>
    <row r="97" spans="1:24" ht="29" x14ac:dyDescent="0.35">
      <c r="A97" s="921">
        <v>223</v>
      </c>
      <c r="B97" s="921">
        <v>81</v>
      </c>
      <c r="C97" s="921" t="s">
        <v>189</v>
      </c>
      <c r="D97" s="935">
        <v>1</v>
      </c>
      <c r="E97" s="936">
        <v>4.9000000000000004</v>
      </c>
      <c r="F97" s="936">
        <v>11.414999999999999</v>
      </c>
      <c r="G97" s="921">
        <f t="shared" si="4"/>
        <v>6.5149999999999988</v>
      </c>
      <c r="H97" s="943" t="s">
        <v>170</v>
      </c>
      <c r="I97" s="924" t="s">
        <v>790</v>
      </c>
      <c r="J97" s="938" t="s">
        <v>802</v>
      </c>
      <c r="K97" s="925">
        <v>22</v>
      </c>
      <c r="L97" s="1011"/>
      <c r="M97" s="927"/>
      <c r="N97" s="928"/>
      <c r="O97" s="927"/>
      <c r="P97" s="928"/>
      <c r="Q97" s="927"/>
      <c r="R97" s="928"/>
      <c r="S97" s="927"/>
      <c r="T97" s="928"/>
      <c r="U97" s="931">
        <v>1.97</v>
      </c>
      <c r="V97" s="932"/>
      <c r="W97" s="932"/>
      <c r="X97" s="933" t="s">
        <v>778</v>
      </c>
    </row>
    <row r="98" spans="1:24" ht="29" x14ac:dyDescent="0.35">
      <c r="A98" s="921">
        <v>226</v>
      </c>
      <c r="B98" s="921">
        <v>15133</v>
      </c>
      <c r="C98" s="921" t="s">
        <v>803</v>
      </c>
      <c r="D98" s="935">
        <v>1</v>
      </c>
      <c r="E98" s="936">
        <v>2.62</v>
      </c>
      <c r="F98" s="936">
        <v>3.5819999999999999</v>
      </c>
      <c r="G98" s="921">
        <f t="shared" si="4"/>
        <v>0.96199999999999974</v>
      </c>
      <c r="H98" s="937" t="s">
        <v>641</v>
      </c>
      <c r="I98" s="938" t="s">
        <v>729</v>
      </c>
      <c r="J98" s="938" t="s">
        <v>804</v>
      </c>
      <c r="K98" s="925">
        <v>22</v>
      </c>
      <c r="L98" s="939" t="s">
        <v>805</v>
      </c>
      <c r="M98" s="927"/>
      <c r="N98" s="928"/>
      <c r="O98" s="927"/>
      <c r="P98" s="928"/>
      <c r="Q98" s="927"/>
      <c r="R98" s="946"/>
      <c r="S98" s="927">
        <v>0.4</v>
      </c>
      <c r="T98" s="947"/>
      <c r="U98" s="931">
        <v>0.45</v>
      </c>
      <c r="V98" s="932"/>
      <c r="W98" s="932"/>
      <c r="X98" s="933" t="s">
        <v>640</v>
      </c>
    </row>
    <row r="99" spans="1:24" ht="29" x14ac:dyDescent="0.35">
      <c r="A99" s="921">
        <v>241</v>
      </c>
      <c r="B99" s="921">
        <v>92</v>
      </c>
      <c r="C99" s="921" t="s">
        <v>196</v>
      </c>
      <c r="D99" s="935">
        <v>1</v>
      </c>
      <c r="E99" s="936">
        <v>84.581999999999994</v>
      </c>
      <c r="F99" s="936">
        <v>93.105000000000004</v>
      </c>
      <c r="G99" s="921">
        <f t="shared" si="4"/>
        <v>8.5230000000000103</v>
      </c>
      <c r="H99" s="943" t="s">
        <v>170</v>
      </c>
      <c r="I99" s="924" t="s">
        <v>668</v>
      </c>
      <c r="J99" s="938" t="s">
        <v>806</v>
      </c>
      <c r="K99" s="925">
        <v>20</v>
      </c>
      <c r="L99" s="1011"/>
      <c r="M99" s="927"/>
      <c r="N99" s="928"/>
      <c r="O99" s="927"/>
      <c r="P99" s="928"/>
      <c r="Q99" s="927"/>
      <c r="R99" s="928"/>
      <c r="S99" s="927"/>
      <c r="T99" s="947"/>
      <c r="U99" s="931">
        <v>3</v>
      </c>
      <c r="V99" s="1014"/>
      <c r="W99" s="1014"/>
      <c r="X99" s="933" t="s">
        <v>778</v>
      </c>
    </row>
    <row r="100" spans="1:24" ht="29" x14ac:dyDescent="0.35">
      <c r="A100" s="921">
        <v>63</v>
      </c>
      <c r="B100" s="921">
        <v>6</v>
      </c>
      <c r="C100" s="921" t="s">
        <v>200</v>
      </c>
      <c r="D100" s="922">
        <v>1</v>
      </c>
      <c r="E100" s="921">
        <v>69.936999999999998</v>
      </c>
      <c r="F100" s="921">
        <v>73.89</v>
      </c>
      <c r="G100" s="921">
        <f t="shared" si="4"/>
        <v>3.953000000000003</v>
      </c>
      <c r="H100" s="943" t="s">
        <v>170</v>
      </c>
      <c r="I100" s="924" t="s">
        <v>668</v>
      </c>
      <c r="J100" s="924"/>
      <c r="K100" s="925"/>
      <c r="L100" s="1011"/>
      <c r="M100" s="927"/>
      <c r="N100" s="928"/>
      <c r="O100" s="927"/>
      <c r="P100" s="928"/>
      <c r="Q100" s="927"/>
      <c r="R100" s="928"/>
      <c r="S100" s="927"/>
      <c r="T100" s="928"/>
      <c r="U100" s="931">
        <v>2.35</v>
      </c>
      <c r="V100" s="1015"/>
      <c r="W100" s="1015"/>
      <c r="X100" s="933" t="s">
        <v>807</v>
      </c>
    </row>
    <row r="101" spans="1:24" x14ac:dyDescent="0.35">
      <c r="A101" s="988"/>
      <c r="B101" s="988"/>
      <c r="C101" s="1016"/>
      <c r="D101" s="1017"/>
      <c r="E101" s="1018"/>
      <c r="F101" s="1018"/>
      <c r="G101" s="1018"/>
      <c r="H101" s="988"/>
      <c r="I101" s="955"/>
      <c r="J101" s="955"/>
      <c r="K101" s="992"/>
      <c r="L101" s="1017"/>
      <c r="M101" s="988"/>
      <c r="N101" s="988"/>
      <c r="O101" s="988"/>
      <c r="P101" s="988"/>
      <c r="Q101" s="988"/>
      <c r="R101" s="988"/>
      <c r="S101" s="988"/>
      <c r="T101" s="988"/>
      <c r="U101" s="1018"/>
      <c r="V101" s="989"/>
      <c r="W101" s="989"/>
      <c r="X101" s="988"/>
    </row>
    <row r="102" spans="1:24" x14ac:dyDescent="0.35">
      <c r="C102" s="1019" t="s">
        <v>808</v>
      </c>
      <c r="D102" s="958"/>
      <c r="E102" s="958"/>
      <c r="X102" s="893"/>
    </row>
    <row r="104" spans="1:24" ht="43.5" x14ac:dyDescent="0.35">
      <c r="A104" s="959">
        <v>124</v>
      </c>
      <c r="B104" s="959">
        <v>37</v>
      </c>
      <c r="C104" s="959" t="s">
        <v>809</v>
      </c>
      <c r="D104" s="960">
        <v>1</v>
      </c>
      <c r="E104" s="959">
        <v>5.0999999999999996</v>
      </c>
      <c r="F104" s="959">
        <v>12.951000000000001</v>
      </c>
      <c r="G104" s="959">
        <f t="shared" ref="G104:G108" si="5">F104-E104</f>
        <v>7.8510000000000009</v>
      </c>
      <c r="H104" s="941" t="s">
        <v>648</v>
      </c>
      <c r="I104" s="961" t="s">
        <v>673</v>
      </c>
      <c r="J104" s="961" t="s">
        <v>810</v>
      </c>
      <c r="K104" s="962">
        <v>35</v>
      </c>
      <c r="L104" s="960"/>
      <c r="M104" s="970"/>
      <c r="N104" s="971"/>
      <c r="O104" s="970"/>
      <c r="P104" s="971"/>
      <c r="Q104" s="970"/>
      <c r="R104" s="971"/>
      <c r="S104" s="970">
        <v>2.75</v>
      </c>
      <c r="T104" s="1020"/>
      <c r="U104" s="1021"/>
      <c r="V104" s="1022">
        <v>2.75</v>
      </c>
      <c r="W104" s="975">
        <v>2.75</v>
      </c>
      <c r="X104" s="976" t="s">
        <v>811</v>
      </c>
    </row>
    <row r="105" spans="1:24" ht="43.5" x14ac:dyDescent="0.35">
      <c r="A105" s="1023">
        <v>129</v>
      </c>
      <c r="B105" s="1023">
        <v>11315</v>
      </c>
      <c r="C105" s="1023" t="s">
        <v>253</v>
      </c>
      <c r="D105" s="1024">
        <v>1</v>
      </c>
      <c r="E105" s="1023">
        <v>5.5E-2</v>
      </c>
      <c r="F105" s="1023">
        <v>5.9</v>
      </c>
      <c r="G105" s="959">
        <f t="shared" si="5"/>
        <v>5.8450000000000006</v>
      </c>
      <c r="H105" s="1025" t="s">
        <v>636</v>
      </c>
      <c r="I105" s="1026" t="s">
        <v>637</v>
      </c>
      <c r="J105" s="1026" t="s">
        <v>812</v>
      </c>
      <c r="K105" s="1027">
        <v>35</v>
      </c>
      <c r="L105" s="1028"/>
      <c r="M105" s="1029"/>
      <c r="N105" s="1030"/>
      <c r="O105" s="1029"/>
      <c r="P105" s="1030"/>
      <c r="Q105" s="1031"/>
      <c r="R105" s="1032"/>
      <c r="S105" s="970">
        <v>1.5</v>
      </c>
      <c r="T105" s="1032"/>
      <c r="U105" s="1033"/>
      <c r="V105" s="1034">
        <v>1.5</v>
      </c>
      <c r="W105" s="965">
        <v>1.5</v>
      </c>
      <c r="X105" s="976" t="s">
        <v>811</v>
      </c>
    </row>
    <row r="106" spans="1:24" ht="29" x14ac:dyDescent="0.35">
      <c r="A106" s="1023">
        <v>126</v>
      </c>
      <c r="B106" s="1023">
        <v>69</v>
      </c>
      <c r="C106" s="1023" t="s">
        <v>236</v>
      </c>
      <c r="D106" s="1024">
        <v>1</v>
      </c>
      <c r="E106" s="1023">
        <v>0</v>
      </c>
      <c r="F106" s="1023">
        <v>9.2420000000000009</v>
      </c>
      <c r="G106" s="959">
        <v>9.2420000000000009</v>
      </c>
      <c r="H106" s="941" t="s">
        <v>648</v>
      </c>
      <c r="I106" s="1026" t="s">
        <v>649</v>
      </c>
      <c r="J106" s="1026" t="s">
        <v>813</v>
      </c>
      <c r="K106" s="1027">
        <v>35</v>
      </c>
      <c r="L106" s="1028"/>
      <c r="M106" s="1029"/>
      <c r="N106" s="1030"/>
      <c r="O106" s="1029"/>
      <c r="P106" s="1030"/>
      <c r="Q106" s="1031"/>
      <c r="R106" s="1032"/>
      <c r="S106" s="1035"/>
      <c r="T106" s="1032"/>
      <c r="U106" s="1033"/>
      <c r="V106" s="1034"/>
      <c r="W106" s="965">
        <v>3.2</v>
      </c>
      <c r="X106" s="1036" t="s">
        <v>778</v>
      </c>
    </row>
    <row r="107" spans="1:24" ht="29" x14ac:dyDescent="0.35">
      <c r="A107" s="1023">
        <v>130</v>
      </c>
      <c r="B107" s="1023">
        <v>22152</v>
      </c>
      <c r="C107" s="1023" t="s">
        <v>814</v>
      </c>
      <c r="D107" s="1024">
        <v>1</v>
      </c>
      <c r="E107" s="1023">
        <v>0</v>
      </c>
      <c r="F107" s="1023">
        <v>1.554</v>
      </c>
      <c r="G107" s="959">
        <v>1.554</v>
      </c>
      <c r="H107" s="948" t="s">
        <v>648</v>
      </c>
      <c r="I107" s="1026" t="s">
        <v>785</v>
      </c>
      <c r="J107" s="1026" t="s">
        <v>815</v>
      </c>
      <c r="K107" s="1027">
        <v>34</v>
      </c>
      <c r="L107" s="1028"/>
      <c r="M107" s="1029"/>
      <c r="N107" s="1030"/>
      <c r="O107" s="1029"/>
      <c r="P107" s="1030"/>
      <c r="Q107" s="1031"/>
      <c r="R107" s="1032"/>
      <c r="S107" s="1035"/>
      <c r="T107" s="1032"/>
      <c r="U107" s="1033"/>
      <c r="V107" s="1034"/>
      <c r="W107" s="965">
        <v>0.6</v>
      </c>
      <c r="X107" s="1036" t="s">
        <v>778</v>
      </c>
    </row>
    <row r="108" spans="1:24" ht="43.5" x14ac:dyDescent="0.35">
      <c r="A108" s="959">
        <v>141</v>
      </c>
      <c r="B108" s="959">
        <v>46</v>
      </c>
      <c r="C108" s="959" t="s">
        <v>234</v>
      </c>
      <c r="D108" s="960">
        <v>1</v>
      </c>
      <c r="E108" s="959">
        <v>26.875</v>
      </c>
      <c r="F108" s="959">
        <v>33.472999999999999</v>
      </c>
      <c r="G108" s="959">
        <f t="shared" si="5"/>
        <v>6.597999999999999</v>
      </c>
      <c r="H108" s="941" t="s">
        <v>648</v>
      </c>
      <c r="I108" s="961" t="s">
        <v>746</v>
      </c>
      <c r="J108" s="961" t="s">
        <v>816</v>
      </c>
      <c r="K108" s="962">
        <v>33</v>
      </c>
      <c r="L108" s="1003"/>
      <c r="M108" s="964"/>
      <c r="N108" s="965"/>
      <c r="O108" s="964"/>
      <c r="P108" s="965"/>
      <c r="Q108" s="1037"/>
      <c r="R108" s="1038"/>
      <c r="S108" s="970">
        <v>2.31</v>
      </c>
      <c r="T108" s="1038"/>
      <c r="U108" s="1039"/>
      <c r="V108" s="1040">
        <v>2.31</v>
      </c>
      <c r="W108" s="977">
        <v>2.31</v>
      </c>
      <c r="X108" s="976" t="s">
        <v>811</v>
      </c>
    </row>
    <row r="109" spans="1:24" ht="15" customHeight="1" thickBot="1" x14ac:dyDescent="0.4">
      <c r="A109" s="988"/>
      <c r="B109" s="988"/>
      <c r="C109" s="988"/>
      <c r="D109" s="1017"/>
      <c r="E109" s="988"/>
      <c r="F109" s="988"/>
      <c r="G109" s="988"/>
      <c r="H109" s="988"/>
      <c r="I109" s="955"/>
      <c r="J109" s="955"/>
      <c r="K109" s="992"/>
      <c r="L109" s="1017"/>
      <c r="M109" s="988"/>
      <c r="N109" s="988"/>
      <c r="O109" s="988"/>
      <c r="P109" s="1018"/>
      <c r="Q109" s="1018"/>
      <c r="R109" s="1018"/>
      <c r="S109" s="1018"/>
      <c r="T109" s="1041"/>
      <c r="U109" s="1018"/>
      <c r="V109" s="989"/>
      <c r="W109" s="989"/>
      <c r="X109" s="993"/>
    </row>
    <row r="110" spans="1:24" ht="15" customHeight="1" thickBot="1" x14ac:dyDescent="0.4">
      <c r="G110" s="1042"/>
      <c r="H110" s="1043" t="s">
        <v>817</v>
      </c>
      <c r="I110" s="1044" t="s">
        <v>818</v>
      </c>
      <c r="J110" s="211"/>
      <c r="K110" s="211">
        <v>52.94</v>
      </c>
      <c r="L110" s="1045">
        <f>K110-P110</f>
        <v>0</v>
      </c>
      <c r="M110" s="211"/>
      <c r="N110" s="211"/>
      <c r="P110" s="1046">
        <f>SUM(P9:P108)</f>
        <v>52.94</v>
      </c>
      <c r="U110" s="211"/>
      <c r="V110" s="211"/>
      <c r="W110" s="211"/>
      <c r="X110" s="211"/>
    </row>
    <row r="111" spans="1:24" ht="15" customHeight="1" thickBot="1" x14ac:dyDescent="0.4">
      <c r="G111" s="1042"/>
      <c r="H111" s="1043" t="s">
        <v>819</v>
      </c>
      <c r="I111" s="1044" t="s">
        <v>818</v>
      </c>
      <c r="J111" s="211"/>
      <c r="K111" s="211">
        <v>51.33</v>
      </c>
      <c r="L111" s="1047">
        <f>K111-R111</f>
        <v>0</v>
      </c>
      <c r="M111" s="211"/>
      <c r="N111" s="211"/>
      <c r="R111" s="1048">
        <f>SUM(R23:R108)</f>
        <v>51.33</v>
      </c>
      <c r="U111" s="211"/>
      <c r="V111" s="211"/>
      <c r="W111" s="211"/>
      <c r="X111" s="211"/>
    </row>
    <row r="112" spans="1:24" ht="15" customHeight="1" thickBot="1" x14ac:dyDescent="0.4">
      <c r="G112" s="1042"/>
      <c r="H112" s="1043" t="s">
        <v>820</v>
      </c>
      <c r="I112" s="1044" t="s">
        <v>818</v>
      </c>
      <c r="J112" s="211"/>
      <c r="K112" s="211">
        <v>47.46</v>
      </c>
      <c r="L112" s="1045">
        <f>K112-T112</f>
        <v>0</v>
      </c>
      <c r="M112" s="211"/>
      <c r="N112" s="211"/>
      <c r="T112" s="1046">
        <f>SUM(T23:T108)</f>
        <v>47.46</v>
      </c>
      <c r="U112" s="211"/>
      <c r="V112" s="211"/>
      <c r="W112" s="211"/>
      <c r="X112" s="211"/>
    </row>
    <row r="113" spans="1:39" ht="15" customHeight="1" thickBot="1" x14ac:dyDescent="0.4">
      <c r="G113" s="1042"/>
      <c r="H113" s="1043" t="s">
        <v>821</v>
      </c>
      <c r="I113" s="1044" t="s">
        <v>818</v>
      </c>
      <c r="J113" s="211"/>
      <c r="K113" s="211">
        <v>47.741999999999997</v>
      </c>
      <c r="L113" s="1049">
        <f>K113-U113</f>
        <v>5.499999999898364E-4</v>
      </c>
      <c r="M113" s="211"/>
      <c r="N113" s="211"/>
      <c r="U113" s="1050">
        <f>SUM(U23:U108)</f>
        <v>47.741450000000007</v>
      </c>
      <c r="V113" s="211"/>
      <c r="X113" s="211"/>
    </row>
    <row r="114" spans="1:39" ht="15" thickBot="1" x14ac:dyDescent="0.4">
      <c r="G114" s="1042"/>
      <c r="H114" s="1043" t="s">
        <v>634</v>
      </c>
      <c r="I114" s="1044"/>
      <c r="Q114" s="566"/>
      <c r="R114" s="566"/>
      <c r="W114" s="1046">
        <f>SUM(W104:W108)</f>
        <v>10.360000000000001</v>
      </c>
    </row>
    <row r="115" spans="1:39" x14ac:dyDescent="0.35">
      <c r="B115" s="566" t="s">
        <v>822</v>
      </c>
      <c r="G115" s="1042"/>
      <c r="H115" s="1043"/>
      <c r="I115" s="1044"/>
      <c r="Q115" s="566"/>
      <c r="R115" s="566"/>
      <c r="W115" s="398"/>
    </row>
    <row r="116" spans="1:39" s="54" customFormat="1" x14ac:dyDescent="0.35">
      <c r="A116" s="921"/>
      <c r="B116" s="1051">
        <v>60</v>
      </c>
      <c r="C116" s="1051" t="s">
        <v>823</v>
      </c>
      <c r="D116" s="1051">
        <v>1</v>
      </c>
      <c r="E116" s="1051">
        <v>21.172000000000001</v>
      </c>
      <c r="F116" s="1051">
        <v>24.7</v>
      </c>
      <c r="G116" s="1051">
        <f>F116-E116</f>
        <v>3.5279999999999987</v>
      </c>
      <c r="H116" s="943" t="s">
        <v>170</v>
      </c>
      <c r="I116" s="511"/>
      <c r="J116" s="511"/>
      <c r="K116" s="511"/>
      <c r="L116" s="511"/>
      <c r="M116" s="511"/>
      <c r="N116" s="511"/>
      <c r="O116" s="1051"/>
      <c r="P116" s="1051"/>
      <c r="Q116" s="1051"/>
      <c r="R116" s="511"/>
      <c r="S116" s="1051"/>
      <c r="T116" s="1051"/>
      <c r="U116" s="511"/>
      <c r="V116" s="921"/>
      <c r="W116" s="511">
        <v>1.3</v>
      </c>
      <c r="X116" s="1052"/>
      <c r="Y116" s="1053"/>
      <c r="Z116" s="1054"/>
      <c r="AA116" s="1054"/>
      <c r="AB116" s="1054"/>
      <c r="AC116" s="1054"/>
      <c r="AD116" s="1054"/>
      <c r="AE116" s="1054"/>
      <c r="AF116" s="1054"/>
      <c r="AG116" s="1055"/>
      <c r="AH116" s="1055"/>
      <c r="AI116" s="1055"/>
      <c r="AJ116" s="1054"/>
      <c r="AK116" s="1054"/>
      <c r="AM116" s="1054"/>
    </row>
    <row r="117" spans="1:39" x14ac:dyDescent="0.35">
      <c r="A117" s="959"/>
      <c r="B117" s="921">
        <v>19201</v>
      </c>
      <c r="C117" s="921" t="s">
        <v>824</v>
      </c>
      <c r="D117" s="921">
        <v>1</v>
      </c>
      <c r="E117" s="921">
        <v>23.68</v>
      </c>
      <c r="F117" s="921">
        <v>32.1</v>
      </c>
      <c r="G117" s="921">
        <f t="shared" ref="G117:G118" si="6">F117-E117</f>
        <v>8.4200000000000017</v>
      </c>
      <c r="H117" s="943" t="s">
        <v>170</v>
      </c>
      <c r="I117" s="924"/>
      <c r="J117" s="924"/>
      <c r="K117" s="1056"/>
      <c r="L117" s="924"/>
      <c r="M117" s="924"/>
      <c r="N117" s="924"/>
      <c r="O117" s="924"/>
      <c r="P117" s="924"/>
      <c r="Q117" s="1051"/>
      <c r="R117" s="1051"/>
      <c r="S117" s="1051"/>
      <c r="T117" s="1051"/>
      <c r="U117" s="924"/>
      <c r="V117" s="921"/>
      <c r="W117" s="924">
        <v>1.5</v>
      </c>
      <c r="X117" s="1052"/>
    </row>
    <row r="118" spans="1:39" s="211" customFormat="1" x14ac:dyDescent="0.35">
      <c r="A118" s="921"/>
      <c r="B118" s="1051">
        <v>22133</v>
      </c>
      <c r="C118" s="1051" t="s">
        <v>825</v>
      </c>
      <c r="D118" s="1051">
        <v>1</v>
      </c>
      <c r="E118" s="1051">
        <v>0.05</v>
      </c>
      <c r="F118" s="1051">
        <v>1.3</v>
      </c>
      <c r="G118" s="921">
        <f t="shared" si="6"/>
        <v>1.25</v>
      </c>
      <c r="H118" s="941" t="s">
        <v>648</v>
      </c>
      <c r="I118" s="1057"/>
      <c r="J118" s="1057"/>
      <c r="K118" s="1057"/>
      <c r="L118" s="924"/>
      <c r="M118" s="924"/>
      <c r="N118" s="924"/>
      <c r="O118" s="924"/>
      <c r="P118" s="924"/>
      <c r="Q118" s="1051"/>
      <c r="R118" s="1051"/>
      <c r="S118" s="1051"/>
      <c r="T118" s="1051"/>
      <c r="U118" s="924"/>
      <c r="V118" s="1058">
        <v>0.6</v>
      </c>
      <c r="W118" s="924">
        <v>0.6</v>
      </c>
      <c r="X118" s="924"/>
      <c r="Y118" s="934"/>
    </row>
    <row r="119" spans="1:39" ht="29" x14ac:dyDescent="0.35">
      <c r="A119" s="921"/>
      <c r="B119" s="921">
        <v>25214</v>
      </c>
      <c r="C119" s="921" t="s">
        <v>826</v>
      </c>
      <c r="D119" s="922">
        <v>1</v>
      </c>
      <c r="E119" s="921">
        <v>0</v>
      </c>
      <c r="F119" s="921">
        <v>1.05</v>
      </c>
      <c r="G119" s="921">
        <f>F119-E119</f>
        <v>1.05</v>
      </c>
      <c r="H119" s="941" t="s">
        <v>648</v>
      </c>
      <c r="I119" s="1057"/>
      <c r="J119" s="1057"/>
      <c r="K119" s="1057"/>
      <c r="L119" s="924"/>
      <c r="M119" s="924"/>
      <c r="N119" s="924"/>
      <c r="O119" s="924"/>
      <c r="P119" s="924"/>
      <c r="Q119" s="1051"/>
      <c r="R119" s="1051"/>
      <c r="S119" s="1051"/>
      <c r="T119" s="1051"/>
      <c r="U119" s="924"/>
      <c r="V119" s="1001">
        <v>0.42499999999999999</v>
      </c>
      <c r="W119" s="924">
        <v>0.4</v>
      </c>
      <c r="X119" s="924" t="s">
        <v>827</v>
      </c>
    </row>
    <row r="120" spans="1:39" x14ac:dyDescent="0.35">
      <c r="A120" s="988"/>
      <c r="B120" s="988"/>
      <c r="C120" s="988"/>
      <c r="D120" s="1017"/>
      <c r="E120" s="988"/>
      <c r="F120" s="988"/>
      <c r="G120" s="988"/>
      <c r="H120" s="988"/>
      <c r="I120" s="1055"/>
      <c r="J120" s="1055"/>
      <c r="K120" s="1055"/>
      <c r="L120" s="1059"/>
      <c r="M120" s="1059"/>
      <c r="N120" s="1059"/>
      <c r="O120" s="1059"/>
      <c r="P120" s="988"/>
      <c r="Q120" s="1059"/>
      <c r="R120" s="988"/>
      <c r="S120" s="1059"/>
      <c r="T120" s="1059"/>
      <c r="U120" s="1059"/>
      <c r="V120" s="1059"/>
      <c r="W120" s="1059"/>
      <c r="X120" s="1060"/>
    </row>
    <row r="121" spans="1:39" ht="15" customHeight="1" x14ac:dyDescent="0.35">
      <c r="A121" s="54"/>
      <c r="B121" s="54"/>
      <c r="C121" s="54"/>
      <c r="D121" s="54"/>
      <c r="E121" s="54"/>
      <c r="F121" s="54"/>
      <c r="G121" s="54"/>
      <c r="H121" s="203"/>
      <c r="I121" s="203"/>
      <c r="J121" s="203"/>
      <c r="K121" s="203"/>
      <c r="L121" s="203"/>
      <c r="M121" s="203"/>
      <c r="N121" s="203"/>
      <c r="O121" s="887"/>
      <c r="P121" s="1051">
        <v>2018</v>
      </c>
      <c r="Q121" s="1051"/>
      <c r="R121" s="1051">
        <v>2019</v>
      </c>
      <c r="S121" s="1051"/>
      <c r="T121" s="1051">
        <v>2020</v>
      </c>
      <c r="U121" s="511">
        <v>2021</v>
      </c>
      <c r="V121" s="54"/>
      <c r="W121" s="54"/>
      <c r="X121" s="54"/>
    </row>
    <row r="122" spans="1:39" ht="15" customHeight="1" x14ac:dyDescent="0.35">
      <c r="A122" s="54"/>
      <c r="B122" s="54"/>
      <c r="C122" s="54"/>
      <c r="D122" s="54"/>
      <c r="E122" s="54"/>
      <c r="F122" s="54"/>
      <c r="G122" s="54"/>
      <c r="H122" s="1061" t="s">
        <v>641</v>
      </c>
      <c r="I122" s="203"/>
      <c r="J122" s="203"/>
      <c r="K122" s="203"/>
      <c r="L122" s="203"/>
      <c r="M122" s="203"/>
      <c r="N122" s="203"/>
      <c r="O122" s="887"/>
      <c r="P122" s="895">
        <f>P25+P24+P22+P19+P12+P11+P10</f>
        <v>12.43</v>
      </c>
      <c r="Q122" s="1051"/>
      <c r="R122" s="1051">
        <f>R59</f>
        <v>1.3</v>
      </c>
      <c r="S122" s="1051"/>
      <c r="T122" s="1051">
        <f>T73+T70+T67</f>
        <v>5.5200000000000005</v>
      </c>
      <c r="U122" s="511">
        <f>U98+U84</f>
        <v>4.34</v>
      </c>
      <c r="V122" s="54"/>
      <c r="W122" s="54"/>
      <c r="X122" s="54"/>
    </row>
    <row r="123" spans="1:39" ht="15" customHeight="1" x14ac:dyDescent="0.35">
      <c r="A123" s="54"/>
      <c r="B123" s="54"/>
      <c r="C123" s="54"/>
      <c r="D123" s="54"/>
      <c r="E123" s="54"/>
      <c r="F123" s="54"/>
      <c r="G123" s="54"/>
      <c r="H123" s="948" t="s">
        <v>648</v>
      </c>
      <c r="I123" s="203"/>
      <c r="J123" s="203"/>
      <c r="K123" s="203"/>
      <c r="L123" s="203"/>
      <c r="M123" s="203"/>
      <c r="N123" s="203"/>
      <c r="O123" s="887"/>
      <c r="P123" s="895">
        <f>P119+P28+P26+P23+P20+P18+P17+P16+P15+P13</f>
        <v>20.56</v>
      </c>
      <c r="Q123" s="1051"/>
      <c r="R123" s="1051">
        <f>R58+R56+R52+R50+R49+R48+R47+R43+R42+R41</f>
        <v>23.779999999999998</v>
      </c>
      <c r="S123" s="1051"/>
      <c r="T123" s="1051">
        <f>T71+T69+T68+T66+T50</f>
        <v>12.670000000000002</v>
      </c>
      <c r="U123" s="511">
        <f>U68+U85+U87+U89+U92+U93+U94+U95</f>
        <v>22.529999999999998</v>
      </c>
      <c r="V123" s="54"/>
      <c r="W123" s="54"/>
      <c r="X123" s="54"/>
    </row>
    <row r="124" spans="1:39" ht="15" customHeight="1" x14ac:dyDescent="0.35">
      <c r="A124" s="54"/>
      <c r="B124" s="54"/>
      <c r="C124" s="54"/>
      <c r="D124" s="54"/>
      <c r="E124" s="54"/>
      <c r="F124" s="54"/>
      <c r="G124" s="54"/>
      <c r="H124" s="968" t="s">
        <v>170</v>
      </c>
      <c r="I124" s="203"/>
      <c r="J124" s="203"/>
      <c r="K124" s="203"/>
      <c r="L124" s="203"/>
      <c r="M124" s="203"/>
      <c r="N124" s="203"/>
      <c r="O124" s="887"/>
      <c r="P124" s="1051">
        <f>P14+P21+P29</f>
        <v>6.2500000000000009</v>
      </c>
      <c r="Q124" s="1051"/>
      <c r="R124" s="1051">
        <f>R78+R62+R61+R55+R51+R45+R44+R39+R38+R29</f>
        <v>14.560000000000002</v>
      </c>
      <c r="S124" s="1051"/>
      <c r="T124" s="1051">
        <f>T80+T79+T78+T77+T75+T65+T55</f>
        <v>17.57</v>
      </c>
      <c r="U124" s="894">
        <f>U83+U86+U88+U90+U96+U97+U99+U100+U79</f>
        <v>20.471450000000001</v>
      </c>
      <c r="V124" s="54"/>
      <c r="W124" s="54"/>
      <c r="X124" s="54"/>
    </row>
    <row r="125" spans="1:39" ht="15" customHeight="1" x14ac:dyDescent="0.35">
      <c r="A125" s="54"/>
      <c r="B125" s="54"/>
      <c r="C125" s="54"/>
      <c r="D125" s="54"/>
      <c r="E125" s="54"/>
      <c r="F125" s="54"/>
      <c r="G125" s="54"/>
      <c r="H125" s="1000" t="s">
        <v>636</v>
      </c>
      <c r="I125" s="203"/>
      <c r="J125" s="203"/>
      <c r="K125" s="203"/>
      <c r="L125" s="203"/>
      <c r="M125" s="203"/>
      <c r="N125" s="203"/>
      <c r="O125" s="887"/>
      <c r="P125" s="1051">
        <f>P34+P33+P32+P31+P30+P27+P9</f>
        <v>13.7</v>
      </c>
      <c r="Q125" s="1051"/>
      <c r="R125" s="1051">
        <f>R37+R40+R46+R53+R54+R57+R60</f>
        <v>11.69</v>
      </c>
      <c r="S125" s="1051"/>
      <c r="T125" s="1051">
        <f>T76+T74+T72+T60</f>
        <v>11.7</v>
      </c>
      <c r="U125" s="511">
        <f>U91</f>
        <v>0.4</v>
      </c>
      <c r="V125" s="54"/>
      <c r="W125" s="54"/>
      <c r="X125" s="54"/>
    </row>
    <row r="126" spans="1:39" ht="15" customHeight="1" x14ac:dyDescent="0.35">
      <c r="A126" s="54"/>
      <c r="B126" s="54"/>
      <c r="C126" s="54"/>
      <c r="D126" s="54"/>
      <c r="E126" s="54"/>
      <c r="F126" s="54"/>
      <c r="G126" s="54"/>
      <c r="H126" s="203"/>
      <c r="I126" s="203"/>
      <c r="J126" s="203"/>
      <c r="K126" s="203"/>
      <c r="L126" s="203"/>
      <c r="M126" s="203"/>
      <c r="N126" s="203"/>
      <c r="O126" s="887"/>
      <c r="P126" s="895"/>
      <c r="Q126" s="895"/>
      <c r="R126" s="895"/>
      <c r="S126" s="895"/>
      <c r="T126" s="895"/>
      <c r="U126" s="895"/>
      <c r="V126" s="54"/>
      <c r="W126" s="54"/>
      <c r="X126" s="54"/>
    </row>
    <row r="127" spans="1:39" ht="15" customHeight="1" x14ac:dyDescent="0.35">
      <c r="A127" s="54"/>
      <c r="B127" s="54"/>
      <c r="C127" s="54"/>
      <c r="D127" s="54"/>
      <c r="E127" s="54"/>
      <c r="F127" s="54"/>
      <c r="G127" s="54"/>
      <c r="H127" s="203" t="s">
        <v>126</v>
      </c>
      <c r="I127" s="203"/>
      <c r="J127" s="203"/>
      <c r="K127" s="203"/>
      <c r="L127" s="203"/>
      <c r="M127" s="203"/>
      <c r="N127" s="203"/>
      <c r="O127" s="887"/>
      <c r="P127" s="1062">
        <f>SUM(P122:P125)</f>
        <v>52.94</v>
      </c>
      <c r="Q127" s="511"/>
      <c r="R127" s="1063">
        <f t="shared" ref="R127:U127" si="7">SUM(R122:R125)</f>
        <v>51.33</v>
      </c>
      <c r="S127" s="1051"/>
      <c r="T127" s="1062">
        <f t="shared" si="7"/>
        <v>47.460000000000008</v>
      </c>
      <c r="U127" s="1064">
        <f t="shared" si="7"/>
        <v>47.741449999999993</v>
      </c>
      <c r="V127" s="54"/>
      <c r="W127" s="54"/>
      <c r="X127" s="54"/>
    </row>
    <row r="128" spans="1:39" ht="15" customHeight="1" x14ac:dyDescent="0.35">
      <c r="A128" s="54"/>
      <c r="B128" s="54"/>
      <c r="C128" s="54"/>
      <c r="D128" s="54"/>
      <c r="E128" s="54"/>
      <c r="F128" s="54"/>
      <c r="G128" s="54"/>
      <c r="P128" s="893">
        <f>L110</f>
        <v>0</v>
      </c>
      <c r="R128" s="893">
        <f>L111</f>
        <v>0</v>
      </c>
      <c r="T128" s="893">
        <f>L112</f>
        <v>0</v>
      </c>
      <c r="U128" s="583">
        <f>L113</f>
        <v>5.499999999898364E-4</v>
      </c>
    </row>
    <row r="129" spans="1:24" ht="15" customHeight="1" x14ac:dyDescent="0.35">
      <c r="A129" s="54"/>
      <c r="B129" s="54"/>
      <c r="C129" s="54"/>
      <c r="D129" s="54"/>
      <c r="E129" s="54"/>
      <c r="F129" s="54"/>
      <c r="G129" s="54"/>
      <c r="M129" s="1065"/>
      <c r="N129" s="1065"/>
      <c r="O129" s="1066"/>
      <c r="P129" s="1066"/>
      <c r="Q129" s="1066"/>
      <c r="R129" s="1066"/>
      <c r="S129" s="1066"/>
      <c r="T129" s="1066"/>
      <c r="U129" s="1066"/>
      <c r="V129" s="1066"/>
      <c r="W129" s="1066"/>
      <c r="X129" s="1066"/>
    </row>
  </sheetData>
  <autoFilter ref="A8:AJ119" xr:uid="{00000000-0009-0000-0000-00000B000000}">
    <sortState xmlns:xlrd2="http://schemas.microsoft.com/office/spreadsheetml/2017/richdata2" ref="A9:Q143">
      <sortCondition ref="A8:A153"/>
    </sortState>
  </autoFilter>
  <mergeCells count="12">
    <mergeCell ref="L5:L6"/>
    <mergeCell ref="A5:A6"/>
    <mergeCell ref="B5:B6"/>
    <mergeCell ref="C5:C6"/>
    <mergeCell ref="D5:D6"/>
    <mergeCell ref="E5:E6"/>
    <mergeCell ref="F5:F6"/>
    <mergeCell ref="G5:G6"/>
    <mergeCell ref="H5:H6"/>
    <mergeCell ref="I5:I6"/>
    <mergeCell ref="J5:J6"/>
    <mergeCell ref="K5:K6"/>
  </mergeCells>
  <pageMargins left="0.7" right="0.7" top="0.75" bottom="0.75" header="0.3" footer="0.3"/>
  <pageSetup paperSize="9" orientation="portrait" r:id="rId1"/>
  <customProperties>
    <customPr name="EpmWorksheetKeyString_GU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8" tint="0.59999389629810485"/>
  </sheetPr>
  <dimension ref="A1:N391"/>
  <sheetViews>
    <sheetView workbookViewId="0">
      <pane ySplit="3" topLeftCell="A23" activePane="bottomLeft" state="frozen"/>
      <selection pane="bottomLeft" activeCell="L23" sqref="L23"/>
    </sheetView>
  </sheetViews>
  <sheetFormatPr defaultColWidth="9.1796875" defaultRowHeight="14.5" x14ac:dyDescent="0.35"/>
  <cols>
    <col min="1" max="1" width="4.7265625" style="566" customWidth="1"/>
    <col min="2" max="2" width="13.7265625" style="566" customWidth="1"/>
    <col min="3" max="3" width="16.81640625" style="566" customWidth="1"/>
    <col min="4" max="4" width="9.1796875" style="566"/>
    <col min="5" max="5" width="29.26953125" style="566" customWidth="1"/>
    <col min="6" max="8" width="9.1796875" style="566"/>
    <col min="9" max="9" width="14.453125" style="90" customWidth="1"/>
    <col min="10" max="10" width="9.26953125" style="1117" customWidth="1"/>
    <col min="11" max="11" width="9.1796875" style="566"/>
    <col min="12" max="12" width="15.54296875" style="566" customWidth="1"/>
    <col min="13" max="13" width="8.81640625" style="566" customWidth="1"/>
    <col min="14" max="14" width="28.7265625" style="566" customWidth="1"/>
    <col min="15" max="45" width="6" style="566" customWidth="1"/>
    <col min="46" max="76" width="7" style="566" customWidth="1"/>
    <col min="77" max="77" width="13.54296875" style="566" customWidth="1"/>
    <col min="78" max="16384" width="9.1796875" style="566"/>
  </cols>
  <sheetData>
    <row r="1" spans="1:14" ht="18.5" x14ac:dyDescent="0.45">
      <c r="A1" s="1546" t="s">
        <v>828</v>
      </c>
      <c r="B1" s="1546"/>
      <c r="C1" s="1546"/>
      <c r="D1" s="1546"/>
      <c r="E1" s="1546"/>
      <c r="F1" s="1546"/>
      <c r="G1" s="1546"/>
      <c r="H1" s="1546"/>
      <c r="I1" s="1546"/>
      <c r="J1" s="1546"/>
    </row>
    <row r="3" spans="1:14" s="1070" customFormat="1" ht="29" x14ac:dyDescent="0.35">
      <c r="A3" s="1067" t="s">
        <v>829</v>
      </c>
      <c r="B3" s="1067" t="s">
        <v>830</v>
      </c>
      <c r="C3" s="1067" t="s">
        <v>278</v>
      </c>
      <c r="D3" s="1067" t="s">
        <v>159</v>
      </c>
      <c r="E3" s="1067" t="s">
        <v>275</v>
      </c>
      <c r="F3" s="1067" t="s">
        <v>831</v>
      </c>
      <c r="G3" s="1067" t="s">
        <v>832</v>
      </c>
      <c r="H3" s="1067" t="s">
        <v>833</v>
      </c>
      <c r="I3" s="1068" t="s">
        <v>834</v>
      </c>
      <c r="J3" s="1069" t="s">
        <v>835</v>
      </c>
    </row>
    <row r="4" spans="1:14" s="1070" customFormat="1" x14ac:dyDescent="0.35">
      <c r="A4" s="1071">
        <v>1</v>
      </c>
      <c r="B4" s="1072" t="s">
        <v>836</v>
      </c>
      <c r="C4" s="1072" t="s">
        <v>837</v>
      </c>
      <c r="D4" s="1072">
        <v>23183</v>
      </c>
      <c r="E4" s="1072" t="s">
        <v>838</v>
      </c>
      <c r="F4" s="1072">
        <v>0</v>
      </c>
      <c r="G4" s="1072">
        <v>5738</v>
      </c>
      <c r="H4" s="1072">
        <v>5738</v>
      </c>
      <c r="I4" s="1073">
        <f>(H4/1000)*30000</f>
        <v>172140</v>
      </c>
      <c r="J4" s="1074"/>
    </row>
    <row r="5" spans="1:14" s="1070" customFormat="1" x14ac:dyDescent="0.35">
      <c r="A5" s="1071">
        <f t="shared" ref="A5:A16" si="0">A4+1</f>
        <v>2</v>
      </c>
      <c r="B5" s="1072" t="s">
        <v>836</v>
      </c>
      <c r="C5" s="1072" t="s">
        <v>839</v>
      </c>
      <c r="D5" s="1072">
        <v>18217</v>
      </c>
      <c r="E5" s="1072" t="s">
        <v>840</v>
      </c>
      <c r="F5" s="1072">
        <v>0</v>
      </c>
      <c r="G5" s="1072">
        <v>2749</v>
      </c>
      <c r="H5" s="1072">
        <v>2749</v>
      </c>
      <c r="I5" s="1073">
        <f t="shared" ref="I5:I16" si="1">(H5/1000)*30000</f>
        <v>82470</v>
      </c>
      <c r="J5" s="1074"/>
      <c r="L5" s="1549" t="s">
        <v>841</v>
      </c>
      <c r="M5" s="1549"/>
      <c r="N5" s="1549"/>
    </row>
    <row r="6" spans="1:14" s="1070" customFormat="1" x14ac:dyDescent="0.35">
      <c r="A6" s="1071">
        <f t="shared" si="0"/>
        <v>3</v>
      </c>
      <c r="B6" s="1072" t="s">
        <v>842</v>
      </c>
      <c r="C6" s="1072" t="s">
        <v>843</v>
      </c>
      <c r="D6" s="1072">
        <v>21111</v>
      </c>
      <c r="E6" s="1072" t="s">
        <v>844</v>
      </c>
      <c r="F6" s="1072">
        <v>1370</v>
      </c>
      <c r="G6" s="1072">
        <v>7960</v>
      </c>
      <c r="H6" s="1072">
        <v>6590</v>
      </c>
      <c r="I6" s="1073">
        <f t="shared" si="1"/>
        <v>197700</v>
      </c>
      <c r="J6" s="1074"/>
    </row>
    <row r="7" spans="1:14" s="1070" customFormat="1" x14ac:dyDescent="0.35">
      <c r="A7" s="1071">
        <f t="shared" si="0"/>
        <v>4</v>
      </c>
      <c r="B7" s="1072" t="s">
        <v>842</v>
      </c>
      <c r="C7" s="1072" t="s">
        <v>845</v>
      </c>
      <c r="D7" s="1072">
        <v>16191</v>
      </c>
      <c r="E7" s="1072" t="s">
        <v>846</v>
      </c>
      <c r="F7" s="1072">
        <v>12970</v>
      </c>
      <c r="G7" s="1072">
        <v>15427</v>
      </c>
      <c r="H7" s="1072">
        <v>2457</v>
      </c>
      <c r="I7" s="1073">
        <f t="shared" si="1"/>
        <v>73710</v>
      </c>
      <c r="J7" s="1074"/>
      <c r="L7" s="566" t="s">
        <v>830</v>
      </c>
      <c r="M7" s="566" t="s">
        <v>833</v>
      </c>
      <c r="N7" s="1075" t="s">
        <v>847</v>
      </c>
    </row>
    <row r="8" spans="1:14" s="1070" customFormat="1" x14ac:dyDescent="0.35">
      <c r="A8" s="1071">
        <f t="shared" si="0"/>
        <v>5</v>
      </c>
      <c r="B8" s="1072" t="s">
        <v>842</v>
      </c>
      <c r="C8" s="1072" t="s">
        <v>848</v>
      </c>
      <c r="D8" s="1072">
        <v>19109</v>
      </c>
      <c r="E8" s="1072" t="s">
        <v>849</v>
      </c>
      <c r="F8" s="1072">
        <v>5660</v>
      </c>
      <c r="G8" s="1072">
        <v>9166</v>
      </c>
      <c r="H8" s="1072">
        <v>3506</v>
      </c>
      <c r="I8" s="1073">
        <f t="shared" si="1"/>
        <v>105180</v>
      </c>
      <c r="J8" s="1074"/>
      <c r="L8" s="1076" t="s">
        <v>850</v>
      </c>
      <c r="M8" s="1077">
        <v>29453</v>
      </c>
      <c r="N8" s="1077">
        <v>883590</v>
      </c>
    </row>
    <row r="9" spans="1:14" s="1070" customFormat="1" x14ac:dyDescent="0.35">
      <c r="A9" s="1071">
        <f t="shared" si="0"/>
        <v>6</v>
      </c>
      <c r="B9" s="1072" t="s">
        <v>836</v>
      </c>
      <c r="C9" s="1072" t="s">
        <v>851</v>
      </c>
      <c r="D9" s="1072">
        <v>25107</v>
      </c>
      <c r="E9" s="1072" t="s">
        <v>852</v>
      </c>
      <c r="F9" s="1072">
        <v>0</v>
      </c>
      <c r="G9" s="1072">
        <v>432</v>
      </c>
      <c r="H9" s="1072">
        <v>432</v>
      </c>
      <c r="I9" s="1073">
        <f t="shared" si="1"/>
        <v>12960</v>
      </c>
      <c r="J9" s="1074"/>
      <c r="L9" s="1076" t="s">
        <v>836</v>
      </c>
      <c r="M9" s="1077">
        <v>121449</v>
      </c>
      <c r="N9" s="1077">
        <v>3643470</v>
      </c>
    </row>
    <row r="10" spans="1:14" s="1070" customFormat="1" x14ac:dyDescent="0.35">
      <c r="A10" s="1071">
        <f t="shared" si="0"/>
        <v>7</v>
      </c>
      <c r="B10" s="1072" t="s">
        <v>836</v>
      </c>
      <c r="C10" s="1072" t="s">
        <v>851</v>
      </c>
      <c r="D10" s="1072">
        <v>25107</v>
      </c>
      <c r="E10" s="1072" t="s">
        <v>852</v>
      </c>
      <c r="F10" s="1072">
        <v>1544</v>
      </c>
      <c r="G10" s="1072">
        <v>3855</v>
      </c>
      <c r="H10" s="1072">
        <v>2311</v>
      </c>
      <c r="I10" s="1073">
        <f t="shared" si="1"/>
        <v>69330</v>
      </c>
      <c r="J10" s="1074"/>
      <c r="L10" s="1076" t="s">
        <v>842</v>
      </c>
      <c r="M10" s="1077">
        <v>108494</v>
      </c>
      <c r="N10" s="1077">
        <v>3254820</v>
      </c>
    </row>
    <row r="11" spans="1:14" s="1070" customFormat="1" x14ac:dyDescent="0.35">
      <c r="A11" s="1071">
        <f t="shared" si="0"/>
        <v>8</v>
      </c>
      <c r="B11" s="1072" t="s">
        <v>842</v>
      </c>
      <c r="C11" s="1072" t="s">
        <v>848</v>
      </c>
      <c r="D11" s="1072">
        <v>19219</v>
      </c>
      <c r="E11" s="1072" t="s">
        <v>853</v>
      </c>
      <c r="F11" s="1072">
        <v>0</v>
      </c>
      <c r="G11" s="1072">
        <v>2176</v>
      </c>
      <c r="H11" s="1072">
        <v>2176</v>
      </c>
      <c r="I11" s="1073">
        <f t="shared" si="1"/>
        <v>65280.000000000007</v>
      </c>
      <c r="J11" s="1074"/>
      <c r="L11" s="1076" t="s">
        <v>854</v>
      </c>
      <c r="M11" s="1077">
        <v>26173</v>
      </c>
      <c r="N11" s="1077">
        <v>785190</v>
      </c>
    </row>
    <row r="12" spans="1:14" s="1070" customFormat="1" x14ac:dyDescent="0.35">
      <c r="A12" s="1071">
        <f t="shared" si="0"/>
        <v>9</v>
      </c>
      <c r="B12" s="1072" t="s">
        <v>842</v>
      </c>
      <c r="C12" s="1072" t="s">
        <v>848</v>
      </c>
      <c r="D12" s="1072">
        <v>19303</v>
      </c>
      <c r="E12" s="1072" t="s">
        <v>855</v>
      </c>
      <c r="F12" s="1072">
        <v>0</v>
      </c>
      <c r="G12" s="1072">
        <v>9735</v>
      </c>
      <c r="H12" s="1072">
        <v>9735</v>
      </c>
      <c r="I12" s="1073">
        <f t="shared" si="1"/>
        <v>292050</v>
      </c>
      <c r="J12" s="1074"/>
      <c r="L12" s="1076" t="s">
        <v>856</v>
      </c>
      <c r="M12" s="1077">
        <v>285569</v>
      </c>
      <c r="N12" s="1077">
        <v>8567070</v>
      </c>
    </row>
    <row r="13" spans="1:14" s="1070" customFormat="1" x14ac:dyDescent="0.35">
      <c r="A13" s="1071">
        <f t="shared" si="0"/>
        <v>10</v>
      </c>
      <c r="B13" s="1072" t="s">
        <v>842</v>
      </c>
      <c r="C13" s="1072" t="s">
        <v>848</v>
      </c>
      <c r="D13" s="1072">
        <v>19305</v>
      </c>
      <c r="E13" s="1072" t="s">
        <v>857</v>
      </c>
      <c r="F13" s="1072">
        <v>1655</v>
      </c>
      <c r="G13" s="1072">
        <v>5192</v>
      </c>
      <c r="H13" s="1072">
        <v>3537</v>
      </c>
      <c r="I13" s="1073">
        <f t="shared" si="1"/>
        <v>106110</v>
      </c>
      <c r="J13" s="1074"/>
      <c r="L13" s="566"/>
      <c r="M13" s="566"/>
      <c r="N13" s="566"/>
    </row>
    <row r="14" spans="1:14" s="1070" customFormat="1" x14ac:dyDescent="0.35">
      <c r="A14" s="1071">
        <f t="shared" si="0"/>
        <v>11</v>
      </c>
      <c r="B14" s="1072" t="s">
        <v>842</v>
      </c>
      <c r="C14" s="1072" t="s">
        <v>848</v>
      </c>
      <c r="D14" s="1072">
        <v>19272</v>
      </c>
      <c r="E14" s="1072" t="s">
        <v>858</v>
      </c>
      <c r="F14" s="1072">
        <v>17714</v>
      </c>
      <c r="G14" s="1072">
        <v>23640</v>
      </c>
      <c r="H14" s="1072">
        <v>5926</v>
      </c>
      <c r="I14" s="1073">
        <f t="shared" si="1"/>
        <v>177780</v>
      </c>
      <c r="J14" s="1074"/>
      <c r="L14" s="1548" t="s">
        <v>859</v>
      </c>
      <c r="M14" s="1548"/>
      <c r="N14" s="1078">
        <v>8524000</v>
      </c>
    </row>
    <row r="15" spans="1:14" s="1070" customFormat="1" x14ac:dyDescent="0.35">
      <c r="A15" s="1071">
        <f t="shared" si="0"/>
        <v>12</v>
      </c>
      <c r="B15" s="1072" t="s">
        <v>842</v>
      </c>
      <c r="C15" s="1072" t="s">
        <v>848</v>
      </c>
      <c r="D15" s="1072">
        <v>19305</v>
      </c>
      <c r="E15" s="1072" t="s">
        <v>857</v>
      </c>
      <c r="F15" s="1072">
        <v>1636</v>
      </c>
      <c r="G15" s="1072">
        <v>1655</v>
      </c>
      <c r="H15" s="1072">
        <v>19</v>
      </c>
      <c r="I15" s="1073">
        <f t="shared" si="1"/>
        <v>570</v>
      </c>
      <c r="J15" s="1074"/>
      <c r="L15" s="566"/>
      <c r="M15" s="566"/>
      <c r="N15" s="566"/>
    </row>
    <row r="16" spans="1:14" s="1070" customFormat="1" x14ac:dyDescent="0.35">
      <c r="A16" s="1079">
        <f t="shared" si="0"/>
        <v>13</v>
      </c>
      <c r="B16" s="1080" t="s">
        <v>842</v>
      </c>
      <c r="C16" s="1080" t="s">
        <v>860</v>
      </c>
      <c r="D16" s="1080">
        <v>12109</v>
      </c>
      <c r="E16" s="1080" t="s">
        <v>861</v>
      </c>
      <c r="F16" s="1080">
        <v>3060</v>
      </c>
      <c r="G16" s="1080">
        <v>4861</v>
      </c>
      <c r="H16" s="1080">
        <v>1801</v>
      </c>
      <c r="I16" s="1081">
        <f t="shared" si="1"/>
        <v>54030</v>
      </c>
      <c r="J16" s="1082"/>
      <c r="L16" s="566"/>
      <c r="M16" s="566"/>
      <c r="N16" s="566"/>
    </row>
    <row r="17" spans="1:10" x14ac:dyDescent="0.35">
      <c r="A17" s="1083">
        <v>1</v>
      </c>
      <c r="B17" s="1084" t="s">
        <v>836</v>
      </c>
      <c r="C17" s="1084" t="s">
        <v>839</v>
      </c>
      <c r="D17" s="1084">
        <v>18174</v>
      </c>
      <c r="E17" s="1084" t="s">
        <v>862</v>
      </c>
      <c r="F17" s="1084">
        <v>828</v>
      </c>
      <c r="G17" s="1084">
        <v>7586</v>
      </c>
      <c r="H17" s="1084">
        <v>6758</v>
      </c>
      <c r="I17" s="1085">
        <f>(H17/1000)*30000</f>
        <v>202740</v>
      </c>
      <c r="J17" s="1086">
        <v>0.71771128398089035</v>
      </c>
    </row>
    <row r="18" spans="1:10" x14ac:dyDescent="0.35">
      <c r="A18" s="1083">
        <f>A17+1</f>
        <v>2</v>
      </c>
      <c r="B18" s="1084" t="s">
        <v>836</v>
      </c>
      <c r="C18" s="1084" t="s">
        <v>839</v>
      </c>
      <c r="D18" s="1084">
        <v>18186</v>
      </c>
      <c r="E18" s="1084" t="s">
        <v>863</v>
      </c>
      <c r="F18" s="1084">
        <v>5817</v>
      </c>
      <c r="G18" s="1084">
        <v>6778</v>
      </c>
      <c r="H18" s="1084">
        <v>961</v>
      </c>
      <c r="I18" s="1085">
        <f>(H18/1000)*30000</f>
        <v>28830</v>
      </c>
      <c r="J18" s="1086">
        <v>0.69385714285714273</v>
      </c>
    </row>
    <row r="19" spans="1:10" x14ac:dyDescent="0.35">
      <c r="A19" s="1083">
        <f t="shared" ref="A19:A82" si="2">A18+1</f>
        <v>3</v>
      </c>
      <c r="B19" s="1084" t="s">
        <v>854</v>
      </c>
      <c r="C19" s="1084" t="s">
        <v>864</v>
      </c>
      <c r="D19" s="1084">
        <v>20156</v>
      </c>
      <c r="E19" s="1084" t="s">
        <v>865</v>
      </c>
      <c r="F19" s="1084">
        <v>2078</v>
      </c>
      <c r="G19" s="1084">
        <v>2134</v>
      </c>
      <c r="H19" s="1084">
        <v>56</v>
      </c>
      <c r="I19" s="1085">
        <f>(H19/1000)*30000</f>
        <v>1680</v>
      </c>
      <c r="J19" s="1086">
        <v>0.67892857142857144</v>
      </c>
    </row>
    <row r="20" spans="1:10" x14ac:dyDescent="0.35">
      <c r="A20" s="1083">
        <f t="shared" si="2"/>
        <v>4</v>
      </c>
      <c r="B20" s="1084" t="s">
        <v>836</v>
      </c>
      <c r="C20" s="1084" t="s">
        <v>851</v>
      </c>
      <c r="D20" s="1084">
        <v>18199</v>
      </c>
      <c r="E20" s="1084" t="s">
        <v>866</v>
      </c>
      <c r="F20" s="1084">
        <v>10956</v>
      </c>
      <c r="G20" s="1084">
        <v>13137</v>
      </c>
      <c r="H20" s="1084">
        <v>2181</v>
      </c>
      <c r="I20" s="1085">
        <f t="shared" ref="I20:I83" si="3">(H20/1000)*30000</f>
        <v>65430</v>
      </c>
      <c r="J20" s="1086">
        <v>0.66432982904303406</v>
      </c>
    </row>
    <row r="21" spans="1:10" x14ac:dyDescent="0.35">
      <c r="A21" s="1083">
        <f t="shared" si="2"/>
        <v>5</v>
      </c>
      <c r="B21" s="1084" t="s">
        <v>836</v>
      </c>
      <c r="C21" s="1084" t="s">
        <v>839</v>
      </c>
      <c r="D21" s="1084">
        <v>18186</v>
      </c>
      <c r="E21" s="1084" t="s">
        <v>863</v>
      </c>
      <c r="F21" s="1084">
        <v>4817</v>
      </c>
      <c r="G21" s="1084">
        <v>5817</v>
      </c>
      <c r="H21" s="1084">
        <v>1000</v>
      </c>
      <c r="I21" s="1085">
        <f t="shared" si="3"/>
        <v>30000</v>
      </c>
      <c r="J21" s="1086">
        <v>0.66064285714285709</v>
      </c>
    </row>
    <row r="22" spans="1:10" x14ac:dyDescent="0.35">
      <c r="A22" s="1083">
        <f t="shared" si="2"/>
        <v>6</v>
      </c>
      <c r="B22" s="1084" t="s">
        <v>836</v>
      </c>
      <c r="C22" s="1084" t="s">
        <v>839</v>
      </c>
      <c r="D22" s="1084">
        <v>18116</v>
      </c>
      <c r="E22" s="1084" t="s">
        <v>867</v>
      </c>
      <c r="F22" s="1084">
        <v>59</v>
      </c>
      <c r="G22" s="1084">
        <v>1623</v>
      </c>
      <c r="H22" s="1084">
        <v>1564</v>
      </c>
      <c r="I22" s="1085">
        <f t="shared" si="3"/>
        <v>46920</v>
      </c>
      <c r="J22" s="1086">
        <v>0.60928571428571421</v>
      </c>
    </row>
    <row r="23" spans="1:10" x14ac:dyDescent="0.35">
      <c r="A23" s="1083">
        <f t="shared" si="2"/>
        <v>7</v>
      </c>
      <c r="B23" s="1084" t="s">
        <v>836</v>
      </c>
      <c r="C23" s="1084" t="s">
        <v>839</v>
      </c>
      <c r="D23" s="1084">
        <v>18186</v>
      </c>
      <c r="E23" s="1084" t="s">
        <v>863</v>
      </c>
      <c r="F23" s="1084">
        <v>6778</v>
      </c>
      <c r="G23" s="1084">
        <v>18035</v>
      </c>
      <c r="H23" s="1084">
        <v>11257</v>
      </c>
      <c r="I23" s="1085">
        <f t="shared" si="3"/>
        <v>337710</v>
      </c>
      <c r="J23" s="1086">
        <v>0.57008206958073138</v>
      </c>
    </row>
    <row r="24" spans="1:10" x14ac:dyDescent="0.35">
      <c r="A24" s="1083">
        <f t="shared" si="2"/>
        <v>8</v>
      </c>
      <c r="B24" s="1084" t="s">
        <v>836</v>
      </c>
      <c r="C24" s="1084" t="s">
        <v>868</v>
      </c>
      <c r="D24" s="1084">
        <v>22267</v>
      </c>
      <c r="E24" s="1084" t="s">
        <v>869</v>
      </c>
      <c r="F24" s="1084">
        <v>1747</v>
      </c>
      <c r="G24" s="1084">
        <v>6278</v>
      </c>
      <c r="H24" s="1084">
        <v>4531</v>
      </c>
      <c r="I24" s="1085">
        <f t="shared" si="3"/>
        <v>135930</v>
      </c>
      <c r="J24" s="1086">
        <v>0.56277762714001955</v>
      </c>
    </row>
    <row r="25" spans="1:10" x14ac:dyDescent="0.35">
      <c r="A25" s="1083">
        <f t="shared" si="2"/>
        <v>9</v>
      </c>
      <c r="B25" s="1084" t="s">
        <v>836</v>
      </c>
      <c r="C25" s="1084" t="s">
        <v>839</v>
      </c>
      <c r="D25" s="1084">
        <v>18149</v>
      </c>
      <c r="E25" s="1084" t="s">
        <v>870</v>
      </c>
      <c r="F25" s="1084">
        <v>25</v>
      </c>
      <c r="G25" s="1084">
        <v>3605</v>
      </c>
      <c r="H25" s="1084">
        <v>3580</v>
      </c>
      <c r="I25" s="1085">
        <f t="shared" si="3"/>
        <v>107400</v>
      </c>
      <c r="J25" s="1086">
        <v>0.55951167198723062</v>
      </c>
    </row>
    <row r="26" spans="1:10" x14ac:dyDescent="0.35">
      <c r="A26" s="1083">
        <f t="shared" si="2"/>
        <v>10</v>
      </c>
      <c r="B26" s="1084" t="s">
        <v>836</v>
      </c>
      <c r="C26" s="1084" t="s">
        <v>837</v>
      </c>
      <c r="D26" s="1084">
        <v>23188</v>
      </c>
      <c r="E26" s="1084" t="s">
        <v>871</v>
      </c>
      <c r="F26" s="1084">
        <v>2104</v>
      </c>
      <c r="G26" s="1084">
        <v>7949</v>
      </c>
      <c r="H26" s="1084">
        <v>5845</v>
      </c>
      <c r="I26" s="1085">
        <f t="shared" si="3"/>
        <v>175350</v>
      </c>
      <c r="J26" s="1086">
        <v>0.55315739948674081</v>
      </c>
    </row>
    <row r="27" spans="1:10" x14ac:dyDescent="0.35">
      <c r="A27" s="1083">
        <f t="shared" si="2"/>
        <v>11</v>
      </c>
      <c r="B27" s="1084" t="s">
        <v>842</v>
      </c>
      <c r="C27" s="1084" t="s">
        <v>860</v>
      </c>
      <c r="D27" s="1084">
        <v>12131</v>
      </c>
      <c r="E27" s="1084" t="s">
        <v>872</v>
      </c>
      <c r="F27" s="1084">
        <v>3365</v>
      </c>
      <c r="G27" s="1084">
        <v>5880</v>
      </c>
      <c r="H27" s="1084">
        <v>2515</v>
      </c>
      <c r="I27" s="1085">
        <f t="shared" si="3"/>
        <v>75450</v>
      </c>
      <c r="J27" s="1086">
        <v>0.55121428571428566</v>
      </c>
    </row>
    <row r="28" spans="1:10" x14ac:dyDescent="0.35">
      <c r="A28" s="1083">
        <f t="shared" si="2"/>
        <v>12</v>
      </c>
      <c r="B28" s="1084" t="s">
        <v>836</v>
      </c>
      <c r="C28" s="1084" t="s">
        <v>851</v>
      </c>
      <c r="D28" s="1084">
        <v>18199</v>
      </c>
      <c r="E28" s="1084" t="s">
        <v>866</v>
      </c>
      <c r="F28" s="1084">
        <v>13137</v>
      </c>
      <c r="G28" s="1084">
        <v>15392</v>
      </c>
      <c r="H28" s="1084">
        <v>2255</v>
      </c>
      <c r="I28" s="1085">
        <f t="shared" si="3"/>
        <v>67650</v>
      </c>
      <c r="J28" s="1086">
        <v>0.54533592017738353</v>
      </c>
    </row>
    <row r="29" spans="1:10" x14ac:dyDescent="0.35">
      <c r="A29" s="1083">
        <f t="shared" si="2"/>
        <v>13</v>
      </c>
      <c r="B29" s="1084" t="s">
        <v>836</v>
      </c>
      <c r="C29" s="1084" t="s">
        <v>839</v>
      </c>
      <c r="D29" s="1084">
        <v>18116</v>
      </c>
      <c r="E29" s="1084" t="s">
        <v>867</v>
      </c>
      <c r="F29" s="1084">
        <v>5068</v>
      </c>
      <c r="G29" s="1084">
        <v>7959</v>
      </c>
      <c r="H29" s="1084">
        <v>2891</v>
      </c>
      <c r="I29" s="1085">
        <f t="shared" si="3"/>
        <v>86730</v>
      </c>
      <c r="J29" s="1086">
        <v>0.54227343479764789</v>
      </c>
    </row>
    <row r="30" spans="1:10" x14ac:dyDescent="0.35">
      <c r="A30" s="1083">
        <f t="shared" si="2"/>
        <v>14</v>
      </c>
      <c r="B30" s="1084" t="s">
        <v>836</v>
      </c>
      <c r="C30" s="1084" t="s">
        <v>837</v>
      </c>
      <c r="D30" s="1084">
        <v>23252</v>
      </c>
      <c r="E30" s="1084" t="s">
        <v>873</v>
      </c>
      <c r="F30" s="1084">
        <v>726</v>
      </c>
      <c r="G30" s="1084">
        <v>4078</v>
      </c>
      <c r="H30" s="1084">
        <v>3352</v>
      </c>
      <c r="I30" s="1085">
        <f t="shared" si="3"/>
        <v>100560</v>
      </c>
      <c r="J30" s="1086">
        <v>0.53614285714285714</v>
      </c>
    </row>
    <row r="31" spans="1:10" x14ac:dyDescent="0.35">
      <c r="A31" s="1083">
        <f t="shared" si="2"/>
        <v>15</v>
      </c>
      <c r="B31" s="1084" t="s">
        <v>842</v>
      </c>
      <c r="C31" s="1084" t="s">
        <v>845</v>
      </c>
      <c r="D31" s="1084">
        <v>16187</v>
      </c>
      <c r="E31" s="1084" t="s">
        <v>874</v>
      </c>
      <c r="F31" s="1084">
        <v>9555</v>
      </c>
      <c r="G31" s="1084">
        <v>14168</v>
      </c>
      <c r="H31" s="1084">
        <v>4613</v>
      </c>
      <c r="I31" s="1085">
        <f t="shared" si="3"/>
        <v>138390</v>
      </c>
      <c r="J31" s="1086">
        <v>0.53485714285714281</v>
      </c>
    </row>
    <row r="32" spans="1:10" x14ac:dyDescent="0.35">
      <c r="A32" s="1083">
        <f t="shared" si="2"/>
        <v>16</v>
      </c>
      <c r="B32" s="1084" t="s">
        <v>842</v>
      </c>
      <c r="C32" s="1084" t="s">
        <v>848</v>
      </c>
      <c r="D32" s="1084">
        <v>19216</v>
      </c>
      <c r="E32" s="1084" t="s">
        <v>875</v>
      </c>
      <c r="F32" s="1084">
        <v>731</v>
      </c>
      <c r="G32" s="1084">
        <v>2600</v>
      </c>
      <c r="H32" s="1084">
        <v>1869</v>
      </c>
      <c r="I32" s="1085">
        <f t="shared" si="3"/>
        <v>56070</v>
      </c>
      <c r="J32" s="1086">
        <v>0.52105617977528085</v>
      </c>
    </row>
    <row r="33" spans="1:10" x14ac:dyDescent="0.35">
      <c r="A33" s="1083">
        <f t="shared" si="2"/>
        <v>17</v>
      </c>
      <c r="B33" s="1084" t="s">
        <v>842</v>
      </c>
      <c r="C33" s="1084" t="s">
        <v>860</v>
      </c>
      <c r="D33" s="1084">
        <v>12135</v>
      </c>
      <c r="E33" s="1084" t="s">
        <v>876</v>
      </c>
      <c r="F33" s="1084">
        <v>11225</v>
      </c>
      <c r="G33" s="1084">
        <v>12100</v>
      </c>
      <c r="H33" s="1084">
        <v>875</v>
      </c>
      <c r="I33" s="1085">
        <f t="shared" si="3"/>
        <v>26250</v>
      </c>
      <c r="J33" s="1086">
        <v>0.51264285714285707</v>
      </c>
    </row>
    <row r="34" spans="1:10" x14ac:dyDescent="0.35">
      <c r="A34" s="1083">
        <f t="shared" si="2"/>
        <v>18</v>
      </c>
      <c r="B34" s="1084" t="s">
        <v>836</v>
      </c>
      <c r="C34" s="1084" t="s">
        <v>837</v>
      </c>
      <c r="D34" s="1084">
        <v>23212</v>
      </c>
      <c r="E34" s="1084" t="s">
        <v>877</v>
      </c>
      <c r="F34" s="1084">
        <v>0</v>
      </c>
      <c r="G34" s="1084">
        <v>9968</v>
      </c>
      <c r="H34" s="1084">
        <v>9968</v>
      </c>
      <c r="I34" s="1085">
        <f t="shared" si="3"/>
        <v>299040</v>
      </c>
      <c r="J34" s="1086">
        <v>0.5074433186195827</v>
      </c>
    </row>
    <row r="35" spans="1:10" x14ac:dyDescent="0.35">
      <c r="A35" s="1083">
        <f t="shared" si="2"/>
        <v>19</v>
      </c>
      <c r="B35" s="1084" t="s">
        <v>854</v>
      </c>
      <c r="C35" s="1084" t="s">
        <v>864</v>
      </c>
      <c r="D35" s="1084">
        <v>20186</v>
      </c>
      <c r="E35" s="1084" t="s">
        <v>878</v>
      </c>
      <c r="F35" s="1084">
        <v>10500</v>
      </c>
      <c r="G35" s="1084">
        <v>14588</v>
      </c>
      <c r="H35" s="1084">
        <v>4088</v>
      </c>
      <c r="I35" s="1085">
        <f t="shared" si="3"/>
        <v>122640</v>
      </c>
      <c r="J35" s="1086">
        <v>0.50057142857142856</v>
      </c>
    </row>
    <row r="36" spans="1:10" x14ac:dyDescent="0.35">
      <c r="A36" s="1083">
        <f t="shared" si="2"/>
        <v>20</v>
      </c>
      <c r="B36" s="1084" t="s">
        <v>836</v>
      </c>
      <c r="C36" s="1084" t="s">
        <v>868</v>
      </c>
      <c r="D36" s="1084">
        <v>22262</v>
      </c>
      <c r="E36" s="1084" t="s">
        <v>879</v>
      </c>
      <c r="F36" s="1084">
        <v>7976</v>
      </c>
      <c r="G36" s="1084">
        <v>11987</v>
      </c>
      <c r="H36" s="1084">
        <v>4011</v>
      </c>
      <c r="I36" s="1085">
        <f t="shared" si="3"/>
        <v>120330</v>
      </c>
      <c r="J36" s="1086">
        <v>0.49546970830216908</v>
      </c>
    </row>
    <row r="37" spans="1:10" x14ac:dyDescent="0.35">
      <c r="A37" s="1083">
        <f t="shared" si="2"/>
        <v>21</v>
      </c>
      <c r="B37" s="1084" t="s">
        <v>836</v>
      </c>
      <c r="C37" s="1084" t="s">
        <v>837</v>
      </c>
      <c r="D37" s="1084">
        <v>23254</v>
      </c>
      <c r="E37" s="1084" t="s">
        <v>880</v>
      </c>
      <c r="F37" s="1084">
        <v>18</v>
      </c>
      <c r="G37" s="1084">
        <v>3469</v>
      </c>
      <c r="H37" s="1084">
        <v>3451</v>
      </c>
      <c r="I37" s="1085">
        <f t="shared" si="3"/>
        <v>103530</v>
      </c>
      <c r="J37" s="1086">
        <v>0.49229585627354389</v>
      </c>
    </row>
    <row r="38" spans="1:10" x14ac:dyDescent="0.35">
      <c r="A38" s="1083">
        <f t="shared" si="2"/>
        <v>22</v>
      </c>
      <c r="B38" s="1084" t="s">
        <v>842</v>
      </c>
      <c r="C38" s="1084" t="s">
        <v>860</v>
      </c>
      <c r="D38" s="1084">
        <v>12130</v>
      </c>
      <c r="E38" s="1084" t="s">
        <v>881</v>
      </c>
      <c r="F38" s="1084">
        <v>4000</v>
      </c>
      <c r="G38" s="1084">
        <v>7100</v>
      </c>
      <c r="H38" s="1084">
        <v>3100</v>
      </c>
      <c r="I38" s="1085">
        <f t="shared" si="3"/>
        <v>93000</v>
      </c>
      <c r="J38" s="1086">
        <v>0.49199999999999999</v>
      </c>
    </row>
    <row r="39" spans="1:10" x14ac:dyDescent="0.35">
      <c r="A39" s="1083">
        <f t="shared" si="2"/>
        <v>23</v>
      </c>
      <c r="B39" s="1084" t="s">
        <v>842</v>
      </c>
      <c r="C39" s="1084" t="s">
        <v>845</v>
      </c>
      <c r="D39" s="1084">
        <v>16176</v>
      </c>
      <c r="E39" s="1084" t="s">
        <v>882</v>
      </c>
      <c r="F39" s="1084">
        <v>0</v>
      </c>
      <c r="G39" s="1084">
        <v>4428</v>
      </c>
      <c r="H39" s="1084">
        <v>4428</v>
      </c>
      <c r="I39" s="1085">
        <f t="shared" si="3"/>
        <v>132840</v>
      </c>
      <c r="J39" s="1086">
        <v>0.48607220286488578</v>
      </c>
    </row>
    <row r="40" spans="1:10" s="1084" customFormat="1" x14ac:dyDescent="0.35">
      <c r="A40" s="1083">
        <f t="shared" si="2"/>
        <v>24</v>
      </c>
      <c r="B40" s="1084" t="s">
        <v>854</v>
      </c>
      <c r="C40" s="1084" t="s">
        <v>864</v>
      </c>
      <c r="D40" s="1084">
        <v>20250</v>
      </c>
      <c r="E40" s="1084" t="s">
        <v>883</v>
      </c>
      <c r="F40" s="1084">
        <v>2795</v>
      </c>
      <c r="G40" s="1084">
        <v>4170</v>
      </c>
      <c r="H40" s="1084">
        <v>1375</v>
      </c>
      <c r="I40" s="1085">
        <f t="shared" si="3"/>
        <v>41250</v>
      </c>
      <c r="J40" s="1086">
        <v>0.48257142857142854</v>
      </c>
    </row>
    <row r="41" spans="1:10" x14ac:dyDescent="0.35">
      <c r="A41" s="1083">
        <f t="shared" si="2"/>
        <v>25</v>
      </c>
      <c r="B41" s="1084" t="s">
        <v>854</v>
      </c>
      <c r="C41" s="1084" t="s">
        <v>864</v>
      </c>
      <c r="D41" s="1084">
        <v>20242</v>
      </c>
      <c r="E41" s="1084" t="s">
        <v>884</v>
      </c>
      <c r="F41" s="1084">
        <v>6390</v>
      </c>
      <c r="G41" s="1084">
        <v>8898</v>
      </c>
      <c r="H41" s="1084">
        <v>2508</v>
      </c>
      <c r="I41" s="1085">
        <f t="shared" si="3"/>
        <v>75240</v>
      </c>
      <c r="J41" s="1086">
        <v>0.48112833219412166</v>
      </c>
    </row>
    <row r="42" spans="1:10" x14ac:dyDescent="0.35">
      <c r="A42" s="1083">
        <f t="shared" si="2"/>
        <v>26</v>
      </c>
      <c r="B42" s="1084" t="s">
        <v>842</v>
      </c>
      <c r="C42" s="1084" t="s">
        <v>845</v>
      </c>
      <c r="D42" s="1084">
        <v>16128</v>
      </c>
      <c r="E42" s="1084" t="s">
        <v>885</v>
      </c>
      <c r="F42" s="1084">
        <v>1395</v>
      </c>
      <c r="G42" s="1084">
        <v>6334</v>
      </c>
      <c r="H42" s="1084">
        <v>4939</v>
      </c>
      <c r="I42" s="1085">
        <f t="shared" si="3"/>
        <v>148170</v>
      </c>
      <c r="J42" s="1086">
        <v>0.47914285714285709</v>
      </c>
    </row>
    <row r="43" spans="1:10" x14ac:dyDescent="0.35">
      <c r="A43" s="1083">
        <f t="shared" si="2"/>
        <v>27</v>
      </c>
      <c r="B43" s="1084" t="s">
        <v>854</v>
      </c>
      <c r="C43" s="1084" t="s">
        <v>864</v>
      </c>
      <c r="D43" s="1084">
        <v>20130</v>
      </c>
      <c r="E43" s="1084" t="s">
        <v>886</v>
      </c>
      <c r="F43" s="1084">
        <v>1934</v>
      </c>
      <c r="G43" s="1084">
        <v>5210</v>
      </c>
      <c r="H43" s="1084">
        <v>3276</v>
      </c>
      <c r="I43" s="1085">
        <f t="shared" si="3"/>
        <v>98280</v>
      </c>
      <c r="J43" s="1086">
        <v>0.47571428571428576</v>
      </c>
    </row>
    <row r="44" spans="1:10" x14ac:dyDescent="0.35">
      <c r="A44" s="1083">
        <f t="shared" si="2"/>
        <v>28</v>
      </c>
      <c r="B44" s="1084" t="s">
        <v>842</v>
      </c>
      <c r="C44" s="1084" t="s">
        <v>887</v>
      </c>
      <c r="D44" s="1084">
        <v>24150</v>
      </c>
      <c r="E44" s="1084" t="s">
        <v>888</v>
      </c>
      <c r="F44" s="1084">
        <v>2015</v>
      </c>
      <c r="G44" s="1084">
        <v>6308</v>
      </c>
      <c r="H44" s="1084">
        <v>4293</v>
      </c>
      <c r="I44" s="1085">
        <f t="shared" si="3"/>
        <v>128790</v>
      </c>
      <c r="J44" s="1086">
        <v>0.47421428571428564</v>
      </c>
    </row>
    <row r="45" spans="1:10" x14ac:dyDescent="0.35">
      <c r="A45" s="1083">
        <f t="shared" si="2"/>
        <v>29</v>
      </c>
      <c r="B45" s="1084" t="s">
        <v>854</v>
      </c>
      <c r="C45" s="1084" t="s">
        <v>864</v>
      </c>
      <c r="D45" s="1084">
        <v>20166</v>
      </c>
      <c r="E45" s="1084" t="s">
        <v>889</v>
      </c>
      <c r="F45" s="1084">
        <v>11460</v>
      </c>
      <c r="G45" s="1084">
        <v>12750</v>
      </c>
      <c r="H45" s="1084">
        <v>1290</v>
      </c>
      <c r="I45" s="1085">
        <f t="shared" si="3"/>
        <v>38700</v>
      </c>
      <c r="J45" s="1086">
        <v>0.47398255813953483</v>
      </c>
    </row>
    <row r="46" spans="1:10" x14ac:dyDescent="0.35">
      <c r="A46" s="1083">
        <f t="shared" si="2"/>
        <v>30</v>
      </c>
      <c r="B46" s="1084" t="s">
        <v>854</v>
      </c>
      <c r="C46" s="1084" t="s">
        <v>864</v>
      </c>
      <c r="D46" s="1084">
        <v>20102</v>
      </c>
      <c r="E46" s="1084" t="s">
        <v>890</v>
      </c>
      <c r="F46" s="1084">
        <v>0</v>
      </c>
      <c r="G46" s="1084">
        <v>2367</v>
      </c>
      <c r="H46" s="1084">
        <v>2367</v>
      </c>
      <c r="I46" s="1085">
        <f t="shared" si="3"/>
        <v>71010</v>
      </c>
      <c r="J46" s="1086">
        <v>0.47385714285714287</v>
      </c>
    </row>
    <row r="47" spans="1:10" x14ac:dyDescent="0.35">
      <c r="A47" s="1083">
        <f t="shared" si="2"/>
        <v>31</v>
      </c>
      <c r="B47" s="1084" t="s">
        <v>854</v>
      </c>
      <c r="C47" s="1084" t="s">
        <v>864</v>
      </c>
      <c r="D47" s="1084">
        <v>20163</v>
      </c>
      <c r="E47" s="1084" t="s">
        <v>891</v>
      </c>
      <c r="F47" s="1084">
        <v>98</v>
      </c>
      <c r="G47" s="1084">
        <v>7220</v>
      </c>
      <c r="H47" s="1084">
        <v>7122</v>
      </c>
      <c r="I47" s="1085">
        <f t="shared" si="3"/>
        <v>213660</v>
      </c>
      <c r="J47" s="1086">
        <v>0.47175853492197217</v>
      </c>
    </row>
    <row r="48" spans="1:10" x14ac:dyDescent="0.35">
      <c r="A48" s="1083">
        <f t="shared" si="2"/>
        <v>32</v>
      </c>
      <c r="B48" s="1084" t="s">
        <v>842</v>
      </c>
      <c r="C48" s="1084" t="s">
        <v>848</v>
      </c>
      <c r="D48" s="1084">
        <v>19310</v>
      </c>
      <c r="E48" s="1084" t="s">
        <v>892</v>
      </c>
      <c r="F48" s="1084">
        <v>703</v>
      </c>
      <c r="G48" s="1084">
        <v>3216</v>
      </c>
      <c r="H48" s="1084">
        <v>2513</v>
      </c>
      <c r="I48" s="1085">
        <f t="shared" si="3"/>
        <v>75390</v>
      </c>
      <c r="J48" s="1086">
        <v>0.46564285714285708</v>
      </c>
    </row>
    <row r="49" spans="1:10" x14ac:dyDescent="0.35">
      <c r="A49" s="1083">
        <f t="shared" si="2"/>
        <v>33</v>
      </c>
      <c r="B49" s="1084" t="s">
        <v>850</v>
      </c>
      <c r="C49" s="1084" t="s">
        <v>893</v>
      </c>
      <c r="D49" s="1084">
        <v>13207</v>
      </c>
      <c r="E49" s="1084" t="s">
        <v>894</v>
      </c>
      <c r="F49" s="1084">
        <v>0</v>
      </c>
      <c r="G49" s="1084">
        <v>3627</v>
      </c>
      <c r="H49" s="1084">
        <v>3627</v>
      </c>
      <c r="I49" s="1085">
        <f t="shared" si="3"/>
        <v>108810</v>
      </c>
      <c r="J49" s="1086">
        <v>0.46199999999999997</v>
      </c>
    </row>
    <row r="50" spans="1:10" x14ac:dyDescent="0.35">
      <c r="A50" s="1083">
        <f t="shared" si="2"/>
        <v>34</v>
      </c>
      <c r="B50" s="1084" t="s">
        <v>854</v>
      </c>
      <c r="C50" s="1084" t="s">
        <v>864</v>
      </c>
      <c r="D50" s="1084">
        <v>20156</v>
      </c>
      <c r="E50" s="1084" t="s">
        <v>865</v>
      </c>
      <c r="F50" s="1084">
        <v>2134</v>
      </c>
      <c r="G50" s="1084">
        <v>6225</v>
      </c>
      <c r="H50" s="1084">
        <v>4091</v>
      </c>
      <c r="I50" s="1085">
        <f t="shared" si="3"/>
        <v>122730</v>
      </c>
      <c r="J50" s="1086">
        <v>0.45980354087369485</v>
      </c>
    </row>
    <row r="51" spans="1:10" x14ac:dyDescent="0.35">
      <c r="A51" s="1083">
        <f t="shared" si="2"/>
        <v>35</v>
      </c>
      <c r="B51" s="1084" t="s">
        <v>842</v>
      </c>
      <c r="C51" s="1084" t="s">
        <v>887</v>
      </c>
      <c r="D51" s="1084">
        <v>24181</v>
      </c>
      <c r="E51" s="1084" t="s">
        <v>895</v>
      </c>
      <c r="F51" s="1084">
        <v>1888</v>
      </c>
      <c r="G51" s="1084">
        <v>6933</v>
      </c>
      <c r="H51" s="1084">
        <v>5045</v>
      </c>
      <c r="I51" s="1085">
        <f t="shared" si="3"/>
        <v>151350</v>
      </c>
      <c r="J51" s="1086">
        <v>0.45757142857142857</v>
      </c>
    </row>
    <row r="52" spans="1:10" x14ac:dyDescent="0.35">
      <c r="A52" s="1083">
        <f t="shared" si="2"/>
        <v>36</v>
      </c>
      <c r="B52" s="1084" t="s">
        <v>836</v>
      </c>
      <c r="C52" s="1084" t="s">
        <v>896</v>
      </c>
      <c r="D52" s="1084">
        <v>14117</v>
      </c>
      <c r="E52" s="1084" t="s">
        <v>897</v>
      </c>
      <c r="F52" s="1084">
        <v>8196</v>
      </c>
      <c r="G52" s="1084">
        <v>13587</v>
      </c>
      <c r="H52" s="1084">
        <v>5391</v>
      </c>
      <c r="I52" s="1085">
        <f t="shared" si="3"/>
        <v>161730</v>
      </c>
      <c r="J52" s="1086">
        <v>0.45477893049261997</v>
      </c>
    </row>
    <row r="53" spans="1:10" x14ac:dyDescent="0.35">
      <c r="A53" s="1083">
        <f t="shared" si="2"/>
        <v>37</v>
      </c>
      <c r="B53" s="1084" t="s">
        <v>836</v>
      </c>
      <c r="C53" s="1084" t="s">
        <v>868</v>
      </c>
      <c r="D53" s="1084">
        <v>22231</v>
      </c>
      <c r="E53" s="1084" t="s">
        <v>898</v>
      </c>
      <c r="F53" s="1084">
        <v>44</v>
      </c>
      <c r="G53" s="1084">
        <v>2596</v>
      </c>
      <c r="H53" s="1084">
        <v>2552</v>
      </c>
      <c r="I53" s="1085">
        <f t="shared" si="3"/>
        <v>76560</v>
      </c>
      <c r="J53" s="1086">
        <v>0.4530380395897925</v>
      </c>
    </row>
    <row r="54" spans="1:10" x14ac:dyDescent="0.35">
      <c r="A54" s="1083">
        <f t="shared" si="2"/>
        <v>38</v>
      </c>
      <c r="B54" s="1084" t="s">
        <v>842</v>
      </c>
      <c r="C54" s="1084" t="s">
        <v>860</v>
      </c>
      <c r="D54" s="1084">
        <v>12135</v>
      </c>
      <c r="E54" s="1084" t="s">
        <v>876</v>
      </c>
      <c r="F54" s="1084">
        <v>10315</v>
      </c>
      <c r="G54" s="1084">
        <v>11225</v>
      </c>
      <c r="H54" s="1084">
        <v>910</v>
      </c>
      <c r="I54" s="1085">
        <f t="shared" si="3"/>
        <v>27300</v>
      </c>
      <c r="J54" s="1086">
        <v>0.44901648351648354</v>
      </c>
    </row>
    <row r="55" spans="1:10" x14ac:dyDescent="0.35">
      <c r="A55" s="1083">
        <f t="shared" si="2"/>
        <v>39</v>
      </c>
      <c r="B55" s="1084" t="s">
        <v>842</v>
      </c>
      <c r="C55" s="1084" t="s">
        <v>887</v>
      </c>
      <c r="D55" s="1084">
        <v>24163</v>
      </c>
      <c r="E55" s="1084" t="s">
        <v>899</v>
      </c>
      <c r="F55" s="1084">
        <v>120</v>
      </c>
      <c r="G55" s="1084">
        <v>5997</v>
      </c>
      <c r="H55" s="1084">
        <v>5877</v>
      </c>
      <c r="I55" s="1085">
        <f t="shared" si="3"/>
        <v>176310</v>
      </c>
      <c r="J55" s="1086">
        <v>0.44879936313473828</v>
      </c>
    </row>
    <row r="56" spans="1:10" x14ac:dyDescent="0.35">
      <c r="A56" s="1083">
        <f t="shared" si="2"/>
        <v>40</v>
      </c>
      <c r="B56" s="1084" t="s">
        <v>842</v>
      </c>
      <c r="C56" s="1084" t="s">
        <v>843</v>
      </c>
      <c r="D56" s="1084">
        <v>21146</v>
      </c>
      <c r="E56" s="1084" t="s">
        <v>900</v>
      </c>
      <c r="F56" s="1084">
        <v>147</v>
      </c>
      <c r="G56" s="1084">
        <v>10572</v>
      </c>
      <c r="H56" s="1084">
        <v>10425</v>
      </c>
      <c r="I56" s="1085">
        <f t="shared" si="3"/>
        <v>312750</v>
      </c>
      <c r="J56" s="1086">
        <v>0.44489876670092499</v>
      </c>
    </row>
    <row r="57" spans="1:10" x14ac:dyDescent="0.35">
      <c r="A57" s="1083">
        <f t="shared" si="2"/>
        <v>41</v>
      </c>
      <c r="B57" s="1084" t="s">
        <v>842</v>
      </c>
      <c r="C57" s="1084" t="s">
        <v>887</v>
      </c>
      <c r="D57" s="1084">
        <v>24160</v>
      </c>
      <c r="E57" s="1084" t="s">
        <v>901</v>
      </c>
      <c r="F57" s="1084">
        <v>2596</v>
      </c>
      <c r="G57" s="1084">
        <v>4400</v>
      </c>
      <c r="H57" s="1084">
        <v>1804</v>
      </c>
      <c r="I57" s="1085">
        <f t="shared" si="3"/>
        <v>54120</v>
      </c>
      <c r="J57" s="1086">
        <v>0.44271428571428567</v>
      </c>
    </row>
    <row r="58" spans="1:10" x14ac:dyDescent="0.35">
      <c r="A58" s="1083">
        <f t="shared" si="2"/>
        <v>42</v>
      </c>
      <c r="B58" s="1084" t="s">
        <v>842</v>
      </c>
      <c r="C58" s="1084" t="s">
        <v>887</v>
      </c>
      <c r="D58" s="1084">
        <v>24160</v>
      </c>
      <c r="E58" s="1084" t="s">
        <v>901</v>
      </c>
      <c r="F58" s="1084">
        <v>4400</v>
      </c>
      <c r="G58" s="1084">
        <v>5595</v>
      </c>
      <c r="H58" s="1084">
        <v>1195</v>
      </c>
      <c r="I58" s="1085">
        <f t="shared" si="3"/>
        <v>35850</v>
      </c>
      <c r="J58" s="1086">
        <v>0.44271428571428567</v>
      </c>
    </row>
    <row r="59" spans="1:10" x14ac:dyDescent="0.35">
      <c r="A59" s="1083">
        <f t="shared" si="2"/>
        <v>43</v>
      </c>
      <c r="B59" s="1084" t="s">
        <v>850</v>
      </c>
      <c r="C59" s="1084" t="s">
        <v>902</v>
      </c>
      <c r="D59" s="1084">
        <v>15150</v>
      </c>
      <c r="E59" s="1084" t="s">
        <v>903</v>
      </c>
      <c r="F59" s="1084">
        <v>7179</v>
      </c>
      <c r="G59" s="1084">
        <v>9207</v>
      </c>
      <c r="H59" s="1084">
        <v>2028</v>
      </c>
      <c r="I59" s="1085">
        <f t="shared" si="3"/>
        <v>60840</v>
      </c>
      <c r="J59" s="1086">
        <v>0.43988038884192726</v>
      </c>
    </row>
    <row r="60" spans="1:10" x14ac:dyDescent="0.35">
      <c r="A60" s="1083">
        <f t="shared" si="2"/>
        <v>44</v>
      </c>
      <c r="B60" s="1084" t="s">
        <v>836</v>
      </c>
      <c r="C60" s="1084" t="s">
        <v>837</v>
      </c>
      <c r="D60" s="1084">
        <v>23227</v>
      </c>
      <c r="E60" s="1084" t="s">
        <v>904</v>
      </c>
      <c r="F60" s="1084">
        <v>54</v>
      </c>
      <c r="G60" s="1084">
        <v>4369</v>
      </c>
      <c r="H60" s="1084">
        <v>4315</v>
      </c>
      <c r="I60" s="1085">
        <f t="shared" si="3"/>
        <v>129450.00000000001</v>
      </c>
      <c r="J60" s="1086">
        <v>0.4339784803840423</v>
      </c>
    </row>
    <row r="61" spans="1:10" x14ac:dyDescent="0.35">
      <c r="A61" s="1083">
        <f t="shared" si="2"/>
        <v>45</v>
      </c>
      <c r="B61" s="1084" t="s">
        <v>850</v>
      </c>
      <c r="C61" s="1084" t="s">
        <v>902</v>
      </c>
      <c r="D61" s="1084">
        <v>15211</v>
      </c>
      <c r="E61" s="1084" t="s">
        <v>905</v>
      </c>
      <c r="F61" s="1084">
        <v>1710</v>
      </c>
      <c r="G61" s="1084">
        <v>3608</v>
      </c>
      <c r="H61" s="1084">
        <v>1898</v>
      </c>
      <c r="I61" s="1085">
        <f t="shared" si="3"/>
        <v>56940</v>
      </c>
      <c r="J61" s="1086">
        <v>0.43241464699683874</v>
      </c>
    </row>
    <row r="62" spans="1:10" x14ac:dyDescent="0.35">
      <c r="A62" s="1083">
        <f t="shared" si="2"/>
        <v>46</v>
      </c>
      <c r="B62" s="1084" t="s">
        <v>842</v>
      </c>
      <c r="C62" s="1084" t="s">
        <v>887</v>
      </c>
      <c r="D62" s="1084">
        <v>24222</v>
      </c>
      <c r="E62" s="1084" t="s">
        <v>906</v>
      </c>
      <c r="F62" s="1084">
        <v>2998</v>
      </c>
      <c r="G62" s="1084">
        <v>3801</v>
      </c>
      <c r="H62" s="1084">
        <v>803</v>
      </c>
      <c r="I62" s="1085">
        <f t="shared" si="3"/>
        <v>24090</v>
      </c>
      <c r="J62" s="1086">
        <v>0.42949999999999994</v>
      </c>
    </row>
    <row r="63" spans="1:10" x14ac:dyDescent="0.35">
      <c r="A63" s="1083">
        <f t="shared" si="2"/>
        <v>47</v>
      </c>
      <c r="B63" s="1084" t="s">
        <v>836</v>
      </c>
      <c r="C63" s="1084" t="s">
        <v>851</v>
      </c>
      <c r="D63" s="1084">
        <v>25132</v>
      </c>
      <c r="E63" s="1084" t="s">
        <v>907</v>
      </c>
      <c r="F63" s="1084">
        <v>13340</v>
      </c>
      <c r="G63" s="1084">
        <v>14834</v>
      </c>
      <c r="H63" s="1084">
        <v>1494</v>
      </c>
      <c r="I63" s="1085">
        <f t="shared" si="3"/>
        <v>44820</v>
      </c>
      <c r="J63" s="1086">
        <v>0.42649999999999999</v>
      </c>
    </row>
    <row r="64" spans="1:10" x14ac:dyDescent="0.35">
      <c r="A64" s="1083">
        <f t="shared" si="2"/>
        <v>48</v>
      </c>
      <c r="B64" s="1084" t="s">
        <v>836</v>
      </c>
      <c r="C64" s="1084" t="s">
        <v>839</v>
      </c>
      <c r="D64" s="1084">
        <v>18237</v>
      </c>
      <c r="E64" s="1084" t="s">
        <v>908</v>
      </c>
      <c r="F64" s="1084">
        <v>0</v>
      </c>
      <c r="G64" s="1084">
        <v>2475</v>
      </c>
      <c r="H64" s="1084">
        <v>2475</v>
      </c>
      <c r="I64" s="1085">
        <f t="shared" si="3"/>
        <v>74250</v>
      </c>
      <c r="J64" s="1086">
        <v>0.42128571428571426</v>
      </c>
    </row>
    <row r="65" spans="1:10" x14ac:dyDescent="0.35">
      <c r="A65" s="1083">
        <f t="shared" si="2"/>
        <v>49</v>
      </c>
      <c r="B65" s="1084" t="s">
        <v>836</v>
      </c>
      <c r="C65" s="1084" t="s">
        <v>851</v>
      </c>
      <c r="D65" s="1084">
        <v>25191</v>
      </c>
      <c r="E65" s="1084" t="s">
        <v>909</v>
      </c>
      <c r="F65" s="1084">
        <v>29</v>
      </c>
      <c r="G65" s="1084">
        <v>2248</v>
      </c>
      <c r="H65" s="1084">
        <v>2219</v>
      </c>
      <c r="I65" s="1085">
        <f t="shared" si="3"/>
        <v>66570</v>
      </c>
      <c r="J65" s="1086">
        <v>0.42089296980621904</v>
      </c>
    </row>
    <row r="66" spans="1:10" x14ac:dyDescent="0.35">
      <c r="A66" s="1083">
        <f t="shared" si="2"/>
        <v>50</v>
      </c>
      <c r="B66" s="1084" t="s">
        <v>842</v>
      </c>
      <c r="C66" s="1084" t="s">
        <v>887</v>
      </c>
      <c r="D66" s="1084">
        <v>24163</v>
      </c>
      <c r="E66" s="1084" t="s">
        <v>899</v>
      </c>
      <c r="F66" s="1084">
        <v>5997</v>
      </c>
      <c r="G66" s="1084">
        <v>9488</v>
      </c>
      <c r="H66" s="1084">
        <v>3491</v>
      </c>
      <c r="I66" s="1085">
        <f t="shared" si="3"/>
        <v>104730</v>
      </c>
      <c r="J66" s="1086">
        <v>0.42068564062691827</v>
      </c>
    </row>
    <row r="67" spans="1:10" x14ac:dyDescent="0.35">
      <c r="A67" s="1083">
        <f t="shared" si="2"/>
        <v>51</v>
      </c>
      <c r="B67" s="1084" t="s">
        <v>836</v>
      </c>
      <c r="C67" s="1084" t="s">
        <v>837</v>
      </c>
      <c r="D67" s="1084">
        <v>18105</v>
      </c>
      <c r="E67" s="1084" t="s">
        <v>910</v>
      </c>
      <c r="F67" s="1084">
        <v>16834</v>
      </c>
      <c r="G67" s="1084">
        <v>18199</v>
      </c>
      <c r="H67" s="1084">
        <v>1365</v>
      </c>
      <c r="I67" s="1085">
        <f t="shared" si="3"/>
        <v>40950</v>
      </c>
      <c r="J67" s="1086">
        <v>0.42021428571428571</v>
      </c>
    </row>
    <row r="68" spans="1:10" x14ac:dyDescent="0.35">
      <c r="A68" s="1083">
        <f t="shared" si="2"/>
        <v>52</v>
      </c>
      <c r="B68" s="1084" t="s">
        <v>836</v>
      </c>
      <c r="C68" s="1084" t="s">
        <v>837</v>
      </c>
      <c r="D68" s="1084">
        <v>23236</v>
      </c>
      <c r="E68" s="1084" t="s">
        <v>911</v>
      </c>
      <c r="F68" s="1084">
        <v>1220</v>
      </c>
      <c r="G68" s="1084">
        <v>3722</v>
      </c>
      <c r="H68" s="1084">
        <v>2502</v>
      </c>
      <c r="I68" s="1085">
        <f t="shared" si="3"/>
        <v>75060</v>
      </c>
      <c r="J68" s="1086">
        <v>0.41717831449126408</v>
      </c>
    </row>
    <row r="69" spans="1:10" x14ac:dyDescent="0.35">
      <c r="A69" s="1083">
        <f t="shared" si="2"/>
        <v>53</v>
      </c>
      <c r="B69" s="1084" t="s">
        <v>842</v>
      </c>
      <c r="C69" s="1084" t="s">
        <v>848</v>
      </c>
      <c r="D69" s="1084">
        <v>19119</v>
      </c>
      <c r="E69" s="1084" t="s">
        <v>912</v>
      </c>
      <c r="F69" s="1084">
        <v>0</v>
      </c>
      <c r="G69" s="1084">
        <v>6450</v>
      </c>
      <c r="H69" s="1084">
        <v>6450</v>
      </c>
      <c r="I69" s="1085">
        <f t="shared" si="3"/>
        <v>193500</v>
      </c>
      <c r="J69" s="1086">
        <v>0.41413787375415279</v>
      </c>
    </row>
    <row r="70" spans="1:10" x14ac:dyDescent="0.35">
      <c r="A70" s="1083">
        <f t="shared" si="2"/>
        <v>54</v>
      </c>
      <c r="B70" s="1084" t="s">
        <v>850</v>
      </c>
      <c r="C70" s="1084" t="s">
        <v>902</v>
      </c>
      <c r="D70" s="1084">
        <v>15154</v>
      </c>
      <c r="E70" s="1084" t="s">
        <v>913</v>
      </c>
      <c r="F70" s="1084">
        <v>4361</v>
      </c>
      <c r="G70" s="1084">
        <v>5318</v>
      </c>
      <c r="H70" s="1084">
        <v>957</v>
      </c>
      <c r="I70" s="1085">
        <f t="shared" si="3"/>
        <v>28710</v>
      </c>
      <c r="J70" s="1086">
        <v>0.41343103448275864</v>
      </c>
    </row>
    <row r="71" spans="1:10" x14ac:dyDescent="0.35">
      <c r="A71" s="1083">
        <f t="shared" si="2"/>
        <v>55</v>
      </c>
      <c r="B71" s="1084" t="s">
        <v>836</v>
      </c>
      <c r="C71" s="1084" t="s">
        <v>839</v>
      </c>
      <c r="D71" s="1084">
        <v>18194</v>
      </c>
      <c r="E71" s="1084" t="s">
        <v>914</v>
      </c>
      <c r="F71" s="1084">
        <v>306</v>
      </c>
      <c r="G71" s="1084">
        <v>5662</v>
      </c>
      <c r="H71" s="1084">
        <v>5356</v>
      </c>
      <c r="I71" s="1085">
        <f t="shared" si="3"/>
        <v>160680</v>
      </c>
      <c r="J71" s="1086">
        <v>0.4107202603222021</v>
      </c>
    </row>
    <row r="72" spans="1:10" x14ac:dyDescent="0.35">
      <c r="A72" s="1083">
        <f t="shared" si="2"/>
        <v>56</v>
      </c>
      <c r="B72" s="1084" t="s">
        <v>836</v>
      </c>
      <c r="C72" s="1084" t="s">
        <v>837</v>
      </c>
      <c r="D72" s="1084">
        <v>23202</v>
      </c>
      <c r="E72" s="1084" t="s">
        <v>915</v>
      </c>
      <c r="F72" s="1084">
        <v>0</v>
      </c>
      <c r="G72" s="1084">
        <v>2983</v>
      </c>
      <c r="H72" s="1084">
        <v>2983</v>
      </c>
      <c r="I72" s="1085">
        <f t="shared" si="3"/>
        <v>89490</v>
      </c>
      <c r="J72" s="1086">
        <v>0.41014285714285709</v>
      </c>
    </row>
    <row r="73" spans="1:10" s="211" customFormat="1" x14ac:dyDescent="0.35">
      <c r="A73" s="1087">
        <f t="shared" si="2"/>
        <v>57</v>
      </c>
      <c r="B73" s="1084" t="s">
        <v>842</v>
      </c>
      <c r="C73" s="1084" t="s">
        <v>843</v>
      </c>
      <c r="D73" s="1084">
        <v>21115</v>
      </c>
      <c r="E73" s="1084" t="s">
        <v>916</v>
      </c>
      <c r="F73" s="1084">
        <v>80</v>
      </c>
      <c r="G73" s="1084">
        <v>3750</v>
      </c>
      <c r="H73" s="1084">
        <v>3670</v>
      </c>
      <c r="I73" s="1085">
        <f t="shared" si="3"/>
        <v>110100</v>
      </c>
      <c r="J73" s="1086">
        <v>0.40992857142857142</v>
      </c>
    </row>
    <row r="74" spans="1:10" x14ac:dyDescent="0.35">
      <c r="A74" s="1083">
        <f t="shared" si="2"/>
        <v>58</v>
      </c>
      <c r="B74" s="1084" t="s">
        <v>850</v>
      </c>
      <c r="C74" s="1084" t="s">
        <v>902</v>
      </c>
      <c r="D74" s="1084">
        <v>15152</v>
      </c>
      <c r="E74" s="1084" t="s">
        <v>917</v>
      </c>
      <c r="F74" s="1084">
        <v>17111</v>
      </c>
      <c r="G74" s="1084">
        <v>21650</v>
      </c>
      <c r="H74" s="1084">
        <v>4539</v>
      </c>
      <c r="I74" s="1085">
        <f t="shared" si="3"/>
        <v>136170</v>
      </c>
      <c r="J74" s="1086">
        <v>0.40957142857142859</v>
      </c>
    </row>
    <row r="75" spans="1:10" x14ac:dyDescent="0.35">
      <c r="A75" s="1083">
        <f t="shared" si="2"/>
        <v>59</v>
      </c>
      <c r="B75" s="1084" t="s">
        <v>836</v>
      </c>
      <c r="C75" s="1084" t="s">
        <v>896</v>
      </c>
      <c r="D75" s="1084">
        <v>14178</v>
      </c>
      <c r="E75" s="1084" t="s">
        <v>918</v>
      </c>
      <c r="F75" s="1084">
        <v>57</v>
      </c>
      <c r="G75" s="1084">
        <v>5135</v>
      </c>
      <c r="H75" s="1084">
        <v>5078</v>
      </c>
      <c r="I75" s="1085">
        <f t="shared" si="3"/>
        <v>152340</v>
      </c>
      <c r="J75" s="1086">
        <v>0.40907142857142853</v>
      </c>
    </row>
    <row r="76" spans="1:10" x14ac:dyDescent="0.35">
      <c r="A76" s="1083">
        <f t="shared" si="2"/>
        <v>60</v>
      </c>
      <c r="B76" s="1084" t="s">
        <v>850</v>
      </c>
      <c r="C76" s="1084" t="s">
        <v>893</v>
      </c>
      <c r="D76" s="1084">
        <v>13151</v>
      </c>
      <c r="E76" s="1084" t="s">
        <v>919</v>
      </c>
      <c r="F76" s="1084">
        <v>0</v>
      </c>
      <c r="G76" s="1084">
        <v>10200</v>
      </c>
      <c r="H76" s="1084">
        <v>10200</v>
      </c>
      <c r="I76" s="1085">
        <f t="shared" si="3"/>
        <v>306000</v>
      </c>
      <c r="J76" s="1086">
        <v>0.40649999999999997</v>
      </c>
    </row>
    <row r="77" spans="1:10" x14ac:dyDescent="0.35">
      <c r="A77" s="1083">
        <f t="shared" si="2"/>
        <v>61</v>
      </c>
      <c r="B77" s="1084" t="s">
        <v>836</v>
      </c>
      <c r="C77" s="1084" t="s">
        <v>839</v>
      </c>
      <c r="D77" s="1084">
        <v>18116</v>
      </c>
      <c r="E77" s="1084" t="s">
        <v>867</v>
      </c>
      <c r="F77" s="1084">
        <v>1768</v>
      </c>
      <c r="G77" s="1084">
        <v>5068</v>
      </c>
      <c r="H77" s="1084">
        <v>3300</v>
      </c>
      <c r="I77" s="1085">
        <f t="shared" si="3"/>
        <v>99000</v>
      </c>
      <c r="J77" s="1086">
        <v>0.40239935064935062</v>
      </c>
    </row>
    <row r="78" spans="1:10" x14ac:dyDescent="0.35">
      <c r="A78" s="1083">
        <f t="shared" si="2"/>
        <v>62</v>
      </c>
      <c r="B78" s="1084" t="s">
        <v>850</v>
      </c>
      <c r="C78" s="1084" t="s">
        <v>902</v>
      </c>
      <c r="D78" s="1084">
        <v>15187</v>
      </c>
      <c r="E78" s="1084" t="s">
        <v>920</v>
      </c>
      <c r="F78" s="1084">
        <v>52</v>
      </c>
      <c r="G78" s="1084">
        <v>1325</v>
      </c>
      <c r="H78" s="1084">
        <v>1273</v>
      </c>
      <c r="I78" s="1085">
        <f t="shared" si="3"/>
        <v>38190</v>
      </c>
      <c r="J78" s="1086">
        <v>0.39846201324206038</v>
      </c>
    </row>
    <row r="79" spans="1:10" x14ac:dyDescent="0.35">
      <c r="A79" s="1083">
        <f t="shared" si="2"/>
        <v>63</v>
      </c>
      <c r="B79" s="1084" t="s">
        <v>850</v>
      </c>
      <c r="C79" s="1084" t="s">
        <v>902</v>
      </c>
      <c r="D79" s="1084">
        <v>15211</v>
      </c>
      <c r="E79" s="1084" t="s">
        <v>905</v>
      </c>
      <c r="F79" s="1084">
        <v>500</v>
      </c>
      <c r="G79" s="1084">
        <v>1710</v>
      </c>
      <c r="H79" s="1084">
        <v>1210</v>
      </c>
      <c r="I79" s="1085">
        <f t="shared" si="3"/>
        <v>36300</v>
      </c>
      <c r="J79" s="1086">
        <v>0.39671428571428569</v>
      </c>
    </row>
    <row r="80" spans="1:10" x14ac:dyDescent="0.35">
      <c r="A80" s="1083">
        <f t="shared" si="2"/>
        <v>64</v>
      </c>
      <c r="B80" s="1084" t="s">
        <v>850</v>
      </c>
      <c r="C80" s="1084" t="s">
        <v>902</v>
      </c>
      <c r="D80" s="1084">
        <v>15154</v>
      </c>
      <c r="E80" s="1084" t="s">
        <v>913</v>
      </c>
      <c r="F80" s="1084">
        <v>5318</v>
      </c>
      <c r="G80" s="1084">
        <v>8539</v>
      </c>
      <c r="H80" s="1084">
        <v>3221</v>
      </c>
      <c r="I80" s="1085">
        <f t="shared" si="3"/>
        <v>96630</v>
      </c>
      <c r="J80" s="1086">
        <v>0.39437346431897818</v>
      </c>
    </row>
    <row r="81" spans="1:11" x14ac:dyDescent="0.35">
      <c r="A81" s="1083">
        <f t="shared" si="2"/>
        <v>65</v>
      </c>
      <c r="B81" s="1084" t="s">
        <v>836</v>
      </c>
      <c r="C81" s="1084" t="s">
        <v>837</v>
      </c>
      <c r="D81" s="1084">
        <v>23228</v>
      </c>
      <c r="E81" s="1084" t="s">
        <v>921</v>
      </c>
      <c r="F81" s="1084">
        <v>54</v>
      </c>
      <c r="G81" s="1084">
        <v>2747</v>
      </c>
      <c r="H81" s="1084">
        <v>2693</v>
      </c>
      <c r="I81" s="1085">
        <f t="shared" si="3"/>
        <v>80790</v>
      </c>
      <c r="J81" s="1086">
        <v>0.39385714285714285</v>
      </c>
    </row>
    <row r="82" spans="1:11" x14ac:dyDescent="0.35">
      <c r="A82" s="1083">
        <f t="shared" si="2"/>
        <v>66</v>
      </c>
      <c r="B82" s="1084" t="s">
        <v>850</v>
      </c>
      <c r="C82" s="1084" t="s">
        <v>902</v>
      </c>
      <c r="D82" s="1084">
        <v>15211</v>
      </c>
      <c r="E82" s="1084" t="s">
        <v>905</v>
      </c>
      <c r="F82" s="1084">
        <v>0</v>
      </c>
      <c r="G82" s="1084">
        <v>500</v>
      </c>
      <c r="H82" s="1084">
        <v>500</v>
      </c>
      <c r="I82" s="1085">
        <f t="shared" si="3"/>
        <v>15000</v>
      </c>
      <c r="J82" s="1086">
        <v>0.3924285714285714</v>
      </c>
    </row>
    <row r="83" spans="1:11" x14ac:dyDescent="0.35">
      <c r="A83" s="1083">
        <f t="shared" ref="A83:A132" si="4">A82+1</f>
        <v>67</v>
      </c>
      <c r="B83" s="1084" t="s">
        <v>836</v>
      </c>
      <c r="C83" s="1084" t="s">
        <v>896</v>
      </c>
      <c r="D83" s="1084">
        <v>14131</v>
      </c>
      <c r="E83" s="1084" t="s">
        <v>922</v>
      </c>
      <c r="F83" s="1084">
        <v>0</v>
      </c>
      <c r="G83" s="1084">
        <v>537</v>
      </c>
      <c r="H83" s="1084">
        <v>537</v>
      </c>
      <c r="I83" s="1085">
        <f t="shared" si="3"/>
        <v>16110.000000000002</v>
      </c>
      <c r="J83" s="1086">
        <v>0.39184184623570095</v>
      </c>
    </row>
    <row r="84" spans="1:11" x14ac:dyDescent="0.35">
      <c r="A84" s="1083">
        <f t="shared" si="4"/>
        <v>68</v>
      </c>
      <c r="B84" s="1084" t="s">
        <v>836</v>
      </c>
      <c r="C84" s="1084" t="s">
        <v>896</v>
      </c>
      <c r="D84" s="1084">
        <v>14214</v>
      </c>
      <c r="E84" s="1084" t="s">
        <v>923</v>
      </c>
      <c r="F84" s="1084">
        <v>0</v>
      </c>
      <c r="G84" s="1084">
        <v>1738</v>
      </c>
      <c r="H84" s="1084">
        <v>1738</v>
      </c>
      <c r="I84" s="1085">
        <f t="shared" ref="I84:I86" si="5">(H84/1000)*30000</f>
        <v>52140</v>
      </c>
      <c r="J84" s="1086">
        <v>0.38934168995561402</v>
      </c>
    </row>
    <row r="85" spans="1:11" s="54" customFormat="1" x14ac:dyDescent="0.35">
      <c r="A85" s="1083">
        <f t="shared" si="4"/>
        <v>69</v>
      </c>
      <c r="B85" s="1084" t="s">
        <v>836</v>
      </c>
      <c r="C85" s="1084" t="s">
        <v>839</v>
      </c>
      <c r="D85" s="1084">
        <v>18137</v>
      </c>
      <c r="E85" s="1084" t="s">
        <v>924</v>
      </c>
      <c r="F85" s="1084">
        <v>4363</v>
      </c>
      <c r="G85" s="1084">
        <v>6979</v>
      </c>
      <c r="H85" s="1084">
        <v>2616</v>
      </c>
      <c r="I85" s="1085">
        <f t="shared" si="5"/>
        <v>78480</v>
      </c>
      <c r="J85" s="1086">
        <v>0.387685124508519</v>
      </c>
    </row>
    <row r="86" spans="1:11" s="211" customFormat="1" ht="15" thickBot="1" x14ac:dyDescent="0.4">
      <c r="A86" s="1088">
        <f t="shared" si="4"/>
        <v>70</v>
      </c>
      <c r="B86" s="1089" t="s">
        <v>842</v>
      </c>
      <c r="C86" s="1089" t="s">
        <v>887</v>
      </c>
      <c r="D86" s="1089">
        <v>24150</v>
      </c>
      <c r="E86" s="1089" t="s">
        <v>888</v>
      </c>
      <c r="F86" s="1089">
        <v>6308</v>
      </c>
      <c r="G86" s="1089">
        <v>10240</v>
      </c>
      <c r="H86" s="1089">
        <v>3932</v>
      </c>
      <c r="I86" s="1090">
        <f t="shared" si="5"/>
        <v>117960</v>
      </c>
      <c r="J86" s="1091">
        <v>0.38592857142857145</v>
      </c>
    </row>
    <row r="87" spans="1:11" x14ac:dyDescent="0.35">
      <c r="A87" s="1083">
        <f t="shared" si="4"/>
        <v>71</v>
      </c>
      <c r="B87" s="1084" t="s">
        <v>836</v>
      </c>
      <c r="C87" s="1084" t="s">
        <v>896</v>
      </c>
      <c r="D87" s="1084">
        <v>14177</v>
      </c>
      <c r="E87" s="1084" t="s">
        <v>925</v>
      </c>
      <c r="F87" s="1084">
        <v>1267</v>
      </c>
      <c r="G87" s="1084">
        <v>6944</v>
      </c>
      <c r="H87" s="1084"/>
      <c r="I87" s="1085"/>
      <c r="J87" s="1086">
        <v>0.3819285714285714</v>
      </c>
    </row>
    <row r="88" spans="1:11" x14ac:dyDescent="0.35">
      <c r="A88" s="1083">
        <f t="shared" si="4"/>
        <v>72</v>
      </c>
      <c r="B88" s="1084" t="s">
        <v>850</v>
      </c>
      <c r="C88" s="1084" t="s">
        <v>893</v>
      </c>
      <c r="D88" s="1084">
        <v>13165</v>
      </c>
      <c r="E88" s="1084" t="s">
        <v>926</v>
      </c>
      <c r="F88" s="1084">
        <v>0</v>
      </c>
      <c r="G88" s="1084">
        <v>8270</v>
      </c>
      <c r="H88" s="1084"/>
      <c r="I88" s="1085"/>
      <c r="J88" s="1086">
        <v>0.38031659181205735</v>
      </c>
    </row>
    <row r="89" spans="1:11" x14ac:dyDescent="0.35">
      <c r="A89" s="1083">
        <f t="shared" si="4"/>
        <v>73</v>
      </c>
      <c r="B89" s="1084" t="s">
        <v>850</v>
      </c>
      <c r="C89" s="1084" t="s">
        <v>902</v>
      </c>
      <c r="D89" s="1084">
        <v>15119</v>
      </c>
      <c r="E89" s="1084" t="s">
        <v>927</v>
      </c>
      <c r="F89" s="1084">
        <v>8125</v>
      </c>
      <c r="G89" s="1084">
        <v>9962</v>
      </c>
      <c r="H89" s="1084"/>
      <c r="I89" s="1085"/>
      <c r="J89" s="1086">
        <v>0.37842857142857145</v>
      </c>
    </row>
    <row r="90" spans="1:11" x14ac:dyDescent="0.35">
      <c r="A90" s="1083">
        <f t="shared" si="4"/>
        <v>74</v>
      </c>
      <c r="B90" s="1084" t="s">
        <v>842</v>
      </c>
      <c r="C90" s="1084" t="s">
        <v>843</v>
      </c>
      <c r="D90" s="1084">
        <v>21180</v>
      </c>
      <c r="E90" s="1084" t="s">
        <v>928</v>
      </c>
      <c r="F90" s="1084">
        <v>0</v>
      </c>
      <c r="G90" s="1084">
        <v>4971</v>
      </c>
      <c r="H90" s="1084"/>
      <c r="I90" s="1085"/>
      <c r="J90" s="1086">
        <v>0.37821428571428567</v>
      </c>
    </row>
    <row r="91" spans="1:11" x14ac:dyDescent="0.35">
      <c r="A91" s="1083">
        <f t="shared" si="4"/>
        <v>75</v>
      </c>
      <c r="B91" s="1084" t="s">
        <v>850</v>
      </c>
      <c r="C91" s="1084" t="s">
        <v>902</v>
      </c>
      <c r="D91" s="1084">
        <v>15210</v>
      </c>
      <c r="E91" s="1084" t="s">
        <v>929</v>
      </c>
      <c r="F91" s="1084">
        <v>0</v>
      </c>
      <c r="G91" s="1084">
        <v>2732</v>
      </c>
      <c r="H91" s="1084"/>
      <c r="I91" s="1085"/>
      <c r="J91" s="1086">
        <v>0.37614285714285711</v>
      </c>
    </row>
    <row r="92" spans="1:11" x14ac:dyDescent="0.35">
      <c r="A92" s="1083">
        <f t="shared" si="4"/>
        <v>76</v>
      </c>
      <c r="B92" s="1084" t="s">
        <v>836</v>
      </c>
      <c r="C92" s="1084" t="s">
        <v>837</v>
      </c>
      <c r="D92" s="1084">
        <v>23238</v>
      </c>
      <c r="E92" s="1084" t="s">
        <v>930</v>
      </c>
      <c r="F92" s="1084">
        <v>3199</v>
      </c>
      <c r="G92" s="1084">
        <v>10240</v>
      </c>
      <c r="H92" s="1084"/>
      <c r="I92" s="1085"/>
      <c r="J92" s="1086">
        <v>0.37490175908454559</v>
      </c>
    </row>
    <row r="93" spans="1:11" x14ac:dyDescent="0.35">
      <c r="A93" s="1083">
        <f t="shared" si="4"/>
        <v>77</v>
      </c>
      <c r="B93" s="1084" t="s">
        <v>836</v>
      </c>
      <c r="C93" s="1084" t="s">
        <v>868</v>
      </c>
      <c r="D93" s="1084">
        <v>22253</v>
      </c>
      <c r="E93" s="1084" t="s">
        <v>931</v>
      </c>
      <c r="F93" s="1084">
        <v>8956</v>
      </c>
      <c r="G93" s="1084">
        <v>12245</v>
      </c>
      <c r="H93" s="1084"/>
      <c r="I93" s="1085"/>
      <c r="J93" s="1086">
        <v>0.37119096121270034</v>
      </c>
    </row>
    <row r="94" spans="1:11" x14ac:dyDescent="0.35">
      <c r="A94" s="1083">
        <f t="shared" si="4"/>
        <v>78</v>
      </c>
      <c r="B94" s="1084" t="s">
        <v>836</v>
      </c>
      <c r="C94" s="1084" t="s">
        <v>839</v>
      </c>
      <c r="D94" s="1084">
        <v>18137</v>
      </c>
      <c r="E94" s="1084" t="s">
        <v>924</v>
      </c>
      <c r="F94" s="1084">
        <v>0</v>
      </c>
      <c r="G94" s="1084">
        <v>4241</v>
      </c>
      <c r="H94" s="1084"/>
      <c r="I94" s="1085"/>
      <c r="J94" s="1086">
        <v>0.37035714285714283</v>
      </c>
    </row>
    <row r="95" spans="1:11" x14ac:dyDescent="0.35">
      <c r="A95" s="1083">
        <f t="shared" si="4"/>
        <v>79</v>
      </c>
      <c r="B95" s="1084" t="s">
        <v>842</v>
      </c>
      <c r="C95" s="1084" t="s">
        <v>848</v>
      </c>
      <c r="D95" s="1084">
        <v>19344</v>
      </c>
      <c r="E95" s="1084" t="s">
        <v>932</v>
      </c>
      <c r="F95" s="1084">
        <v>4695</v>
      </c>
      <c r="G95" s="1084">
        <v>11330</v>
      </c>
      <c r="H95" s="1084"/>
      <c r="I95" s="1085"/>
      <c r="J95" s="1086">
        <v>0.36814285714285716</v>
      </c>
      <c r="K95" s="211"/>
    </row>
    <row r="96" spans="1:11" x14ac:dyDescent="0.35">
      <c r="A96" s="1083">
        <f t="shared" si="4"/>
        <v>80</v>
      </c>
      <c r="B96" s="1084" t="s">
        <v>836</v>
      </c>
      <c r="C96" s="1084" t="s">
        <v>837</v>
      </c>
      <c r="D96" s="1084">
        <v>23222</v>
      </c>
      <c r="E96" s="1084" t="s">
        <v>933</v>
      </c>
      <c r="F96" s="1084">
        <v>17</v>
      </c>
      <c r="G96" s="1084">
        <v>4132</v>
      </c>
      <c r="H96" s="1084"/>
      <c r="I96" s="1085"/>
      <c r="J96" s="1086">
        <v>0.36689797042164879</v>
      </c>
    </row>
    <row r="97" spans="1:10" x14ac:dyDescent="0.35">
      <c r="A97" s="1083">
        <f t="shared" si="4"/>
        <v>81</v>
      </c>
      <c r="B97" s="1084" t="s">
        <v>836</v>
      </c>
      <c r="C97" s="1084" t="s">
        <v>868</v>
      </c>
      <c r="D97" s="1084">
        <v>22216</v>
      </c>
      <c r="E97" s="1084" t="s">
        <v>934</v>
      </c>
      <c r="F97" s="1084">
        <v>282</v>
      </c>
      <c r="G97" s="1084">
        <v>2758</v>
      </c>
      <c r="H97" s="1084"/>
      <c r="I97" s="1085"/>
      <c r="J97" s="1086">
        <v>0.35950755827371339</v>
      </c>
    </row>
    <row r="98" spans="1:10" x14ac:dyDescent="0.35">
      <c r="A98" s="1083">
        <f t="shared" si="4"/>
        <v>82</v>
      </c>
      <c r="B98" s="1084" t="s">
        <v>842</v>
      </c>
      <c r="C98" s="1084" t="s">
        <v>860</v>
      </c>
      <c r="D98" s="1084">
        <v>12135</v>
      </c>
      <c r="E98" s="1084" t="s">
        <v>876</v>
      </c>
      <c r="F98" s="1084">
        <v>9500</v>
      </c>
      <c r="G98" s="1084">
        <v>10315</v>
      </c>
      <c r="H98" s="1084"/>
      <c r="I98" s="1085"/>
      <c r="J98" s="1086">
        <v>0.35728571428571432</v>
      </c>
    </row>
    <row r="99" spans="1:10" x14ac:dyDescent="0.35">
      <c r="A99" s="1083">
        <f t="shared" si="4"/>
        <v>83</v>
      </c>
      <c r="B99" s="1084" t="s">
        <v>836</v>
      </c>
      <c r="C99" s="1084" t="s">
        <v>851</v>
      </c>
      <c r="D99" s="1084">
        <v>25149</v>
      </c>
      <c r="E99" s="1084" t="s">
        <v>935</v>
      </c>
      <c r="F99" s="1084">
        <v>1141</v>
      </c>
      <c r="G99" s="1084">
        <v>7362</v>
      </c>
      <c r="H99" s="1084"/>
      <c r="I99" s="1085"/>
      <c r="J99" s="1086">
        <v>0.35192857142857142</v>
      </c>
    </row>
    <row r="100" spans="1:10" x14ac:dyDescent="0.35">
      <c r="A100" s="1083">
        <f t="shared" si="4"/>
        <v>84</v>
      </c>
      <c r="B100" s="1084" t="s">
        <v>842</v>
      </c>
      <c r="C100" s="1084" t="s">
        <v>887</v>
      </c>
      <c r="D100" s="1084">
        <v>24126</v>
      </c>
      <c r="E100" s="1084" t="s">
        <v>936</v>
      </c>
      <c r="F100" s="1084">
        <v>4916</v>
      </c>
      <c r="G100" s="1084">
        <v>6971</v>
      </c>
      <c r="H100" s="1084"/>
      <c r="I100" s="1085"/>
      <c r="J100" s="1086">
        <v>0.34842857142857142</v>
      </c>
    </row>
    <row r="101" spans="1:10" x14ac:dyDescent="0.35">
      <c r="A101" s="1083">
        <f t="shared" si="4"/>
        <v>85</v>
      </c>
      <c r="B101" s="1084" t="s">
        <v>842</v>
      </c>
      <c r="C101" s="1084" t="s">
        <v>848</v>
      </c>
      <c r="D101" s="1084">
        <v>19135</v>
      </c>
      <c r="E101" s="1084" t="s">
        <v>937</v>
      </c>
      <c r="F101" s="1084">
        <v>0</v>
      </c>
      <c r="G101" s="1084">
        <v>7360</v>
      </c>
      <c r="H101" s="1084"/>
      <c r="I101" s="1085"/>
      <c r="J101" s="1086">
        <v>0.34460665760869563</v>
      </c>
    </row>
    <row r="102" spans="1:10" x14ac:dyDescent="0.35">
      <c r="A102" s="1083">
        <f t="shared" si="4"/>
        <v>86</v>
      </c>
      <c r="B102" s="1084" t="s">
        <v>836</v>
      </c>
      <c r="C102" s="1084" t="s">
        <v>837</v>
      </c>
      <c r="D102" s="1084">
        <v>23169</v>
      </c>
      <c r="E102" s="1084" t="s">
        <v>938</v>
      </c>
      <c r="F102" s="1084">
        <v>130</v>
      </c>
      <c r="G102" s="1084">
        <v>3569</v>
      </c>
      <c r="H102" s="1084"/>
      <c r="I102" s="1085"/>
      <c r="J102" s="1086">
        <v>0.34392857142857142</v>
      </c>
    </row>
    <row r="103" spans="1:10" x14ac:dyDescent="0.35">
      <c r="A103" s="1083">
        <f t="shared" si="4"/>
        <v>87</v>
      </c>
      <c r="B103" s="1084" t="s">
        <v>836</v>
      </c>
      <c r="C103" s="1084" t="s">
        <v>851</v>
      </c>
      <c r="D103" s="1084">
        <v>25132</v>
      </c>
      <c r="E103" s="1084" t="s">
        <v>907</v>
      </c>
      <c r="F103" s="1084">
        <v>14834</v>
      </c>
      <c r="G103" s="1084">
        <v>16181</v>
      </c>
      <c r="H103" s="1084"/>
      <c r="I103" s="1085"/>
      <c r="J103" s="1086">
        <v>0.32964285714285713</v>
      </c>
    </row>
    <row r="104" spans="1:10" x14ac:dyDescent="0.35">
      <c r="A104" s="1083">
        <f t="shared" si="4"/>
        <v>88</v>
      </c>
      <c r="B104" s="1084" t="s">
        <v>842</v>
      </c>
      <c r="C104" s="1084" t="s">
        <v>848</v>
      </c>
      <c r="D104" s="1084">
        <v>19217</v>
      </c>
      <c r="E104" s="1084" t="s">
        <v>939</v>
      </c>
      <c r="F104" s="1084">
        <v>0</v>
      </c>
      <c r="G104" s="1084">
        <v>4685</v>
      </c>
      <c r="H104" s="1084"/>
      <c r="I104" s="1085"/>
      <c r="J104" s="1086">
        <v>0.32860725720384204</v>
      </c>
    </row>
    <row r="105" spans="1:10" x14ac:dyDescent="0.35">
      <c r="A105" s="1083">
        <f t="shared" si="4"/>
        <v>89</v>
      </c>
      <c r="B105" s="1084" t="s">
        <v>836</v>
      </c>
      <c r="C105" s="1084" t="s">
        <v>851</v>
      </c>
      <c r="D105" s="1084">
        <v>25132</v>
      </c>
      <c r="E105" s="1084" t="s">
        <v>907</v>
      </c>
      <c r="F105" s="1084">
        <v>12098</v>
      </c>
      <c r="G105" s="1084">
        <v>13340</v>
      </c>
      <c r="H105" s="1084"/>
      <c r="I105" s="1085"/>
      <c r="J105" s="1086">
        <v>0.32471428571428573</v>
      </c>
    </row>
    <row r="106" spans="1:10" x14ac:dyDescent="0.35">
      <c r="A106" s="1083">
        <f t="shared" si="4"/>
        <v>90</v>
      </c>
      <c r="B106" s="1084" t="s">
        <v>836</v>
      </c>
      <c r="C106" s="1084" t="s">
        <v>839</v>
      </c>
      <c r="D106" s="1084">
        <v>18199</v>
      </c>
      <c r="E106" s="1084" t="s">
        <v>866</v>
      </c>
      <c r="F106" s="1084">
        <v>5068</v>
      </c>
      <c r="G106" s="1084">
        <v>10956</v>
      </c>
      <c r="H106" s="1084"/>
      <c r="I106" s="1085"/>
      <c r="J106" s="1086">
        <v>0.32355112092391303</v>
      </c>
    </row>
    <row r="107" spans="1:10" x14ac:dyDescent="0.35">
      <c r="A107" s="1083">
        <f t="shared" si="4"/>
        <v>91</v>
      </c>
      <c r="B107" s="1084" t="s">
        <v>836</v>
      </c>
      <c r="C107" s="1084" t="s">
        <v>839</v>
      </c>
      <c r="D107" s="1084">
        <v>18199</v>
      </c>
      <c r="E107" s="1084" t="s">
        <v>866</v>
      </c>
      <c r="F107" s="1084">
        <v>15392</v>
      </c>
      <c r="G107" s="1084">
        <v>18000</v>
      </c>
      <c r="H107" s="1084"/>
      <c r="I107" s="1085"/>
      <c r="J107" s="1086">
        <v>0.31842539439088519</v>
      </c>
    </row>
    <row r="108" spans="1:10" x14ac:dyDescent="0.35">
      <c r="A108" s="1083">
        <f t="shared" si="4"/>
        <v>92</v>
      </c>
      <c r="B108" s="1084" t="s">
        <v>850</v>
      </c>
      <c r="C108" s="1084" t="s">
        <v>902</v>
      </c>
      <c r="D108" s="1084">
        <v>15154</v>
      </c>
      <c r="E108" s="1084" t="s">
        <v>913</v>
      </c>
      <c r="F108" s="1084">
        <v>8539</v>
      </c>
      <c r="G108" s="1084">
        <v>9160</v>
      </c>
      <c r="H108" s="1084"/>
      <c r="I108" s="1085"/>
      <c r="J108" s="1086">
        <v>0.31264285714285711</v>
      </c>
    </row>
    <row r="109" spans="1:10" x14ac:dyDescent="0.35">
      <c r="A109" s="1083">
        <f t="shared" si="4"/>
        <v>93</v>
      </c>
      <c r="B109" s="1084" t="s">
        <v>836</v>
      </c>
      <c r="C109" s="1084" t="s">
        <v>839</v>
      </c>
      <c r="D109" s="1084">
        <v>18126</v>
      </c>
      <c r="E109" s="1084" t="s">
        <v>940</v>
      </c>
      <c r="F109" s="1084">
        <v>0</v>
      </c>
      <c r="G109" s="1084">
        <v>3599</v>
      </c>
      <c r="H109" s="1084"/>
      <c r="I109" s="1085"/>
      <c r="J109" s="1086">
        <v>0.31264285714285711</v>
      </c>
    </row>
    <row r="110" spans="1:10" x14ac:dyDescent="0.35">
      <c r="A110" s="1083">
        <f t="shared" si="4"/>
        <v>94</v>
      </c>
      <c r="B110" s="1084" t="s">
        <v>836</v>
      </c>
      <c r="C110" s="1084" t="s">
        <v>851</v>
      </c>
      <c r="D110" s="1084">
        <v>25132</v>
      </c>
      <c r="E110" s="1084" t="s">
        <v>907</v>
      </c>
      <c r="F110" s="1084">
        <v>16181</v>
      </c>
      <c r="G110" s="1084">
        <v>18994</v>
      </c>
      <c r="H110" s="1084"/>
      <c r="I110" s="1085"/>
      <c r="J110" s="1086">
        <v>0.31165291249809557</v>
      </c>
    </row>
    <row r="111" spans="1:10" x14ac:dyDescent="0.35">
      <c r="A111" s="1083">
        <f t="shared" si="4"/>
        <v>95</v>
      </c>
      <c r="B111" s="1084" t="s">
        <v>836</v>
      </c>
      <c r="C111" s="1084" t="s">
        <v>868</v>
      </c>
      <c r="D111" s="1084">
        <v>22233</v>
      </c>
      <c r="E111" s="1084" t="s">
        <v>941</v>
      </c>
      <c r="F111" s="1084">
        <v>1255</v>
      </c>
      <c r="G111" s="1084">
        <v>6289</v>
      </c>
      <c r="H111" s="1084"/>
      <c r="I111" s="1085"/>
      <c r="J111" s="1086">
        <v>0.30899999999999994</v>
      </c>
    </row>
    <row r="112" spans="1:10" x14ac:dyDescent="0.35">
      <c r="A112" s="1083">
        <f t="shared" si="4"/>
        <v>96</v>
      </c>
      <c r="B112" s="1084" t="s">
        <v>836</v>
      </c>
      <c r="C112" s="1084" t="s">
        <v>851</v>
      </c>
      <c r="D112" s="1084">
        <v>23201</v>
      </c>
      <c r="E112" s="1084" t="s">
        <v>942</v>
      </c>
      <c r="F112" s="1084">
        <v>26278</v>
      </c>
      <c r="G112" s="1084">
        <v>32130</v>
      </c>
      <c r="H112" s="1084"/>
      <c r="I112" s="1085"/>
      <c r="J112" s="1086">
        <v>0.30278571428571427</v>
      </c>
    </row>
    <row r="113" spans="1:10" x14ac:dyDescent="0.35">
      <c r="A113" s="1083">
        <f t="shared" si="4"/>
        <v>97</v>
      </c>
      <c r="B113" s="1084" t="s">
        <v>836</v>
      </c>
      <c r="C113" s="1084" t="s">
        <v>839</v>
      </c>
      <c r="D113" s="1084">
        <v>18199</v>
      </c>
      <c r="E113" s="1084" t="s">
        <v>866</v>
      </c>
      <c r="F113" s="1084">
        <v>19440</v>
      </c>
      <c r="G113" s="1084">
        <v>21154</v>
      </c>
      <c r="H113" s="1084"/>
      <c r="I113" s="1085"/>
      <c r="J113" s="1086">
        <v>0.29807142857142854</v>
      </c>
    </row>
    <row r="114" spans="1:10" x14ac:dyDescent="0.35">
      <c r="A114" s="1083">
        <f t="shared" si="4"/>
        <v>98</v>
      </c>
      <c r="B114" s="1084" t="s">
        <v>836</v>
      </c>
      <c r="C114" s="1084" t="s">
        <v>896</v>
      </c>
      <c r="D114" s="1084">
        <v>14199</v>
      </c>
      <c r="E114" s="1084" t="s">
        <v>943</v>
      </c>
      <c r="F114" s="1084">
        <v>801</v>
      </c>
      <c r="G114" s="1084">
        <v>1000</v>
      </c>
      <c r="H114" s="1084"/>
      <c r="I114" s="1085"/>
      <c r="J114" s="1086">
        <v>0.26678571428571429</v>
      </c>
    </row>
    <row r="115" spans="1:10" x14ac:dyDescent="0.35">
      <c r="A115" s="1083">
        <f t="shared" si="4"/>
        <v>99</v>
      </c>
      <c r="B115" s="1084" t="s">
        <v>836</v>
      </c>
      <c r="C115" s="1084" t="s">
        <v>837</v>
      </c>
      <c r="D115" s="1084">
        <v>25141</v>
      </c>
      <c r="E115" s="1084" t="s">
        <v>944</v>
      </c>
      <c r="F115" s="1084">
        <v>5117</v>
      </c>
      <c r="G115" s="1084">
        <v>7790</v>
      </c>
      <c r="H115" s="1084"/>
      <c r="I115" s="1085"/>
      <c r="J115" s="1086">
        <v>0.26621428571428568</v>
      </c>
    </row>
    <row r="116" spans="1:10" x14ac:dyDescent="0.35">
      <c r="A116" s="1083">
        <f t="shared" si="4"/>
        <v>100</v>
      </c>
      <c r="B116" s="1084" t="s">
        <v>836</v>
      </c>
      <c r="C116" s="1084" t="s">
        <v>896</v>
      </c>
      <c r="D116" s="1084">
        <v>14199</v>
      </c>
      <c r="E116" s="1084" t="s">
        <v>943</v>
      </c>
      <c r="F116" s="1084">
        <v>2000</v>
      </c>
      <c r="G116" s="1084">
        <v>6263</v>
      </c>
      <c r="H116" s="1084"/>
      <c r="I116" s="1084"/>
      <c r="J116" s="1086">
        <v>0.26250000000000001</v>
      </c>
    </row>
    <row r="117" spans="1:10" x14ac:dyDescent="0.35">
      <c r="A117" s="1083">
        <f t="shared" si="4"/>
        <v>101</v>
      </c>
      <c r="B117" s="1084" t="s">
        <v>836</v>
      </c>
      <c r="C117" s="1084" t="s">
        <v>851</v>
      </c>
      <c r="D117" s="1084">
        <v>25191</v>
      </c>
      <c r="E117" s="1084" t="s">
        <v>909</v>
      </c>
      <c r="F117" s="1084">
        <v>2248</v>
      </c>
      <c r="G117" s="1084">
        <v>3921</v>
      </c>
      <c r="H117" s="1084"/>
      <c r="I117" s="1084"/>
      <c r="J117" s="1086">
        <v>0.2599285714285714</v>
      </c>
    </row>
    <row r="118" spans="1:10" x14ac:dyDescent="0.35">
      <c r="A118" s="1083">
        <f t="shared" si="4"/>
        <v>102</v>
      </c>
      <c r="B118" s="1084" t="s">
        <v>836</v>
      </c>
      <c r="C118" s="1084" t="s">
        <v>851</v>
      </c>
      <c r="D118" s="1084">
        <v>25197</v>
      </c>
      <c r="E118" s="1084" t="s">
        <v>945</v>
      </c>
      <c r="F118" s="1084">
        <v>0</v>
      </c>
      <c r="G118" s="1084">
        <v>2209</v>
      </c>
      <c r="H118" s="1084"/>
      <c r="I118" s="1084"/>
      <c r="J118" s="1086">
        <v>0.25221428571428572</v>
      </c>
    </row>
    <row r="119" spans="1:10" x14ac:dyDescent="0.35">
      <c r="A119" s="1083">
        <f t="shared" si="4"/>
        <v>103</v>
      </c>
      <c r="B119" s="1084" t="s">
        <v>836</v>
      </c>
      <c r="C119" s="1084" t="s">
        <v>851</v>
      </c>
      <c r="D119" s="1084">
        <v>18199</v>
      </c>
      <c r="E119" s="1084" t="s">
        <v>866</v>
      </c>
      <c r="F119" s="1084">
        <v>21154</v>
      </c>
      <c r="G119" s="1084">
        <v>22825</v>
      </c>
      <c r="H119" s="1084"/>
      <c r="I119" s="1084"/>
      <c r="J119" s="1086">
        <v>0.24449999999999997</v>
      </c>
    </row>
    <row r="120" spans="1:10" x14ac:dyDescent="0.35">
      <c r="A120" s="1083">
        <f t="shared" si="4"/>
        <v>104</v>
      </c>
      <c r="B120" s="1084" t="s">
        <v>836</v>
      </c>
      <c r="C120" s="1084" t="s">
        <v>839</v>
      </c>
      <c r="D120" s="1084">
        <v>18199</v>
      </c>
      <c r="E120" s="1084" t="s">
        <v>866</v>
      </c>
      <c r="F120" s="1084">
        <v>18740</v>
      </c>
      <c r="G120" s="1084">
        <v>19440</v>
      </c>
      <c r="H120" s="1084"/>
      <c r="I120" s="1084"/>
      <c r="J120" s="1086">
        <v>0.23478571428571426</v>
      </c>
    </row>
    <row r="121" spans="1:10" x14ac:dyDescent="0.35">
      <c r="A121" s="1083">
        <f t="shared" si="4"/>
        <v>105</v>
      </c>
      <c r="B121" s="1084" t="s">
        <v>836</v>
      </c>
      <c r="C121" s="1084" t="s">
        <v>837</v>
      </c>
      <c r="D121" s="1084">
        <v>23111</v>
      </c>
      <c r="E121" s="1084" t="s">
        <v>946</v>
      </c>
      <c r="F121" s="1084">
        <v>0</v>
      </c>
      <c r="G121" s="1084">
        <v>839</v>
      </c>
      <c r="H121" s="1084"/>
      <c r="I121" s="1084"/>
      <c r="J121" s="1086">
        <v>0.21964285714285714</v>
      </c>
    </row>
    <row r="122" spans="1:10" x14ac:dyDescent="0.35">
      <c r="A122" s="1083">
        <f t="shared" si="4"/>
        <v>106</v>
      </c>
      <c r="B122" s="1084" t="s">
        <v>836</v>
      </c>
      <c r="C122" s="1084" t="s">
        <v>837</v>
      </c>
      <c r="D122" s="1084">
        <v>23236</v>
      </c>
      <c r="E122" s="1084" t="s">
        <v>911</v>
      </c>
      <c r="F122" s="1084">
        <v>0</v>
      </c>
      <c r="G122" s="1084">
        <v>1141</v>
      </c>
      <c r="H122" s="1084"/>
      <c r="I122" s="1084"/>
      <c r="J122" s="1086">
        <v>0.21364285714285711</v>
      </c>
    </row>
    <row r="123" spans="1:10" x14ac:dyDescent="0.35">
      <c r="A123" s="1083">
        <f t="shared" si="4"/>
        <v>107</v>
      </c>
      <c r="B123" s="1084" t="s">
        <v>836</v>
      </c>
      <c r="C123" s="1084" t="s">
        <v>851</v>
      </c>
      <c r="D123" s="1084">
        <v>25101</v>
      </c>
      <c r="E123" s="1084" t="s">
        <v>947</v>
      </c>
      <c r="F123" s="1084">
        <v>0</v>
      </c>
      <c r="G123" s="1084">
        <v>4193</v>
      </c>
      <c r="H123" s="1084"/>
      <c r="I123" s="1084"/>
      <c r="J123" s="1086">
        <v>0.19907142857142857</v>
      </c>
    </row>
    <row r="124" spans="1:10" x14ac:dyDescent="0.35">
      <c r="A124" s="1083">
        <f t="shared" si="4"/>
        <v>108</v>
      </c>
      <c r="B124" s="1084" t="s">
        <v>836</v>
      </c>
      <c r="C124" s="1084" t="s">
        <v>896</v>
      </c>
      <c r="D124" s="1084">
        <v>14215</v>
      </c>
      <c r="E124" s="1084" t="s">
        <v>948</v>
      </c>
      <c r="F124" s="1084">
        <v>46</v>
      </c>
      <c r="G124" s="1084">
        <v>424</v>
      </c>
      <c r="H124" s="1084"/>
      <c r="I124" s="1084"/>
      <c r="J124" s="1086">
        <v>0.19392857142857139</v>
      </c>
    </row>
    <row r="125" spans="1:10" x14ac:dyDescent="0.35">
      <c r="A125" s="1083">
        <f t="shared" si="4"/>
        <v>109</v>
      </c>
      <c r="B125" s="1084" t="s">
        <v>836</v>
      </c>
      <c r="C125" s="1084" t="s">
        <v>896</v>
      </c>
      <c r="D125" s="1084">
        <v>14215</v>
      </c>
      <c r="E125" s="1084" t="s">
        <v>948</v>
      </c>
      <c r="F125" s="1084">
        <v>424</v>
      </c>
      <c r="G125" s="1084">
        <v>2964</v>
      </c>
      <c r="H125" s="1084"/>
      <c r="I125" s="1084"/>
      <c r="J125" s="1086">
        <v>0.18964285714285714</v>
      </c>
    </row>
    <row r="126" spans="1:10" x14ac:dyDescent="0.35">
      <c r="A126" s="1083">
        <f t="shared" si="4"/>
        <v>110</v>
      </c>
      <c r="B126" s="1084" t="s">
        <v>836</v>
      </c>
      <c r="C126" s="1084" t="s">
        <v>837</v>
      </c>
      <c r="D126" s="1084">
        <v>23144</v>
      </c>
      <c r="E126" s="1084" t="s">
        <v>949</v>
      </c>
      <c r="F126" s="1084">
        <v>58</v>
      </c>
      <c r="G126" s="1084">
        <v>9003</v>
      </c>
      <c r="H126" s="1084"/>
      <c r="I126" s="1084"/>
      <c r="J126" s="1086">
        <v>0.18193416114349598</v>
      </c>
    </row>
    <row r="127" spans="1:10" x14ac:dyDescent="0.35">
      <c r="A127" s="1083">
        <f t="shared" si="4"/>
        <v>111</v>
      </c>
      <c r="B127" s="1084" t="s">
        <v>836</v>
      </c>
      <c r="C127" s="1084" t="s">
        <v>896</v>
      </c>
      <c r="D127" s="1084">
        <v>14131</v>
      </c>
      <c r="E127" s="1084" t="s">
        <v>922</v>
      </c>
      <c r="F127" s="1084">
        <v>537</v>
      </c>
      <c r="G127" s="1084">
        <v>7430</v>
      </c>
      <c r="H127" s="1084"/>
      <c r="I127" s="1084"/>
      <c r="J127" s="1086">
        <v>0.16188550496362769</v>
      </c>
    </row>
    <row r="128" spans="1:10" x14ac:dyDescent="0.35">
      <c r="A128" s="1083">
        <f t="shared" si="4"/>
        <v>112</v>
      </c>
      <c r="B128" s="1084" t="s">
        <v>836</v>
      </c>
      <c r="C128" s="1084" t="s">
        <v>839</v>
      </c>
      <c r="D128" s="1084">
        <v>18199</v>
      </c>
      <c r="E128" s="1084" t="s">
        <v>866</v>
      </c>
      <c r="F128" s="1084">
        <v>2481</v>
      </c>
      <c r="G128" s="1084">
        <v>4233</v>
      </c>
      <c r="H128" s="1084"/>
      <c r="I128" s="1084"/>
      <c r="J128" s="1086">
        <v>0.15299999999999997</v>
      </c>
    </row>
    <row r="129" spans="1:10" x14ac:dyDescent="0.35">
      <c r="A129" s="1083">
        <f t="shared" si="4"/>
        <v>113</v>
      </c>
      <c r="B129" s="1084" t="s">
        <v>836</v>
      </c>
      <c r="C129" s="1084" t="s">
        <v>837</v>
      </c>
      <c r="D129" s="1084">
        <v>23214</v>
      </c>
      <c r="E129" s="1084" t="s">
        <v>950</v>
      </c>
      <c r="F129" s="1084">
        <v>0</v>
      </c>
      <c r="G129" s="1084">
        <v>3767</v>
      </c>
      <c r="H129" s="1084"/>
      <c r="I129" s="1084"/>
      <c r="J129" s="1086">
        <v>0.14618842201069435</v>
      </c>
    </row>
    <row r="130" spans="1:10" x14ac:dyDescent="0.35">
      <c r="A130" s="1083">
        <f t="shared" si="4"/>
        <v>114</v>
      </c>
      <c r="B130" s="1084" t="s">
        <v>836</v>
      </c>
      <c r="C130" s="1084" t="s">
        <v>851</v>
      </c>
      <c r="D130" s="1084">
        <v>25139</v>
      </c>
      <c r="E130" s="1084" t="s">
        <v>951</v>
      </c>
      <c r="F130" s="1084">
        <v>70</v>
      </c>
      <c r="G130" s="1084">
        <v>3500</v>
      </c>
      <c r="H130" s="1084"/>
      <c r="I130" s="1084"/>
      <c r="J130" s="1086">
        <v>0.13649999999999998</v>
      </c>
    </row>
    <row r="131" spans="1:10" x14ac:dyDescent="0.35">
      <c r="A131" s="1083">
        <f t="shared" si="4"/>
        <v>115</v>
      </c>
      <c r="B131" s="1084" t="s">
        <v>836</v>
      </c>
      <c r="C131" s="1084" t="s">
        <v>851</v>
      </c>
      <c r="D131" s="1084">
        <v>25139</v>
      </c>
      <c r="E131" s="1084" t="s">
        <v>951</v>
      </c>
      <c r="F131" s="1084">
        <v>3500</v>
      </c>
      <c r="G131" s="1084">
        <v>5966</v>
      </c>
      <c r="H131" s="1084"/>
      <c r="I131" s="1084"/>
      <c r="J131" s="1086">
        <v>0.1322142857142857</v>
      </c>
    </row>
    <row r="132" spans="1:10" x14ac:dyDescent="0.35">
      <c r="A132" s="1092">
        <f t="shared" si="4"/>
        <v>116</v>
      </c>
      <c r="B132" s="1093" t="s">
        <v>836</v>
      </c>
      <c r="C132" s="1093" t="s">
        <v>837</v>
      </c>
      <c r="D132" s="1093">
        <v>23230</v>
      </c>
      <c r="E132" s="1093" t="s">
        <v>952</v>
      </c>
      <c r="F132" s="1093">
        <v>0</v>
      </c>
      <c r="G132" s="1093">
        <v>2834</v>
      </c>
      <c r="H132" s="1093"/>
      <c r="I132" s="1093"/>
      <c r="J132" s="1094">
        <v>0.1305</v>
      </c>
    </row>
    <row r="133" spans="1:10" s="192" customFormat="1" x14ac:dyDescent="0.35">
      <c r="A133" s="1095"/>
      <c r="B133" s="1096"/>
      <c r="C133" s="1096"/>
      <c r="D133" s="1096"/>
      <c r="E133" s="1550" t="s">
        <v>441</v>
      </c>
      <c r="F133" s="1550"/>
      <c r="G133" s="1550"/>
      <c r="H133" s="1097">
        <f>SUM(H4:H132)</f>
        <v>285569</v>
      </c>
      <c r="I133" s="1097">
        <f>SUM(I4:I132)</f>
        <v>8567070</v>
      </c>
      <c r="J133" s="1098"/>
    </row>
    <row r="135" spans="1:10" ht="18.5" x14ac:dyDescent="0.45">
      <c r="A135" s="1546" t="s">
        <v>953</v>
      </c>
      <c r="B135" s="1546"/>
      <c r="C135" s="1546"/>
      <c r="D135" s="1546"/>
      <c r="E135" s="1546"/>
      <c r="F135" s="1546"/>
      <c r="G135" s="1546"/>
      <c r="H135" s="1546"/>
      <c r="I135" s="1546"/>
      <c r="J135" s="1546"/>
    </row>
    <row r="136" spans="1:10" ht="18.5" x14ac:dyDescent="0.45">
      <c r="A136" s="1099"/>
      <c r="B136" s="1099"/>
      <c r="C136" s="1099"/>
      <c r="D136" s="1099"/>
      <c r="E136" s="1099"/>
      <c r="F136" s="1099"/>
      <c r="G136" s="1099"/>
      <c r="H136" s="1099"/>
      <c r="I136" s="1099"/>
      <c r="J136" s="1099"/>
    </row>
    <row r="137" spans="1:10" x14ac:dyDescent="0.35">
      <c r="A137" s="1100"/>
      <c r="B137" s="1101" t="s">
        <v>836</v>
      </c>
      <c r="C137" s="1101" t="s">
        <v>839</v>
      </c>
      <c r="D137" s="1101">
        <v>18104</v>
      </c>
      <c r="E137" s="1101" t="s">
        <v>954</v>
      </c>
      <c r="F137" s="1101">
        <v>19</v>
      </c>
      <c r="G137" s="1101">
        <v>1157</v>
      </c>
      <c r="H137" s="1101">
        <v>1138</v>
      </c>
      <c r="I137" s="1102"/>
      <c r="J137" s="1103"/>
    </row>
    <row r="138" spans="1:10" x14ac:dyDescent="0.35">
      <c r="A138" s="1104"/>
      <c r="B138" s="1105" t="s">
        <v>836</v>
      </c>
      <c r="C138" s="1105" t="s">
        <v>839</v>
      </c>
      <c r="D138" s="1105">
        <v>18218</v>
      </c>
      <c r="E138" s="1105" t="s">
        <v>955</v>
      </c>
      <c r="F138" s="1105">
        <v>5811</v>
      </c>
      <c r="G138" s="1105">
        <v>6040</v>
      </c>
      <c r="H138" s="1105">
        <v>229</v>
      </c>
      <c r="I138" s="1106"/>
      <c r="J138" s="1107"/>
    </row>
    <row r="139" spans="1:10" x14ac:dyDescent="0.35">
      <c r="A139" s="1104"/>
      <c r="B139" s="1105" t="s">
        <v>836</v>
      </c>
      <c r="C139" s="1105" t="s">
        <v>839</v>
      </c>
      <c r="D139" s="1105">
        <v>18157</v>
      </c>
      <c r="E139" s="1105" t="s">
        <v>956</v>
      </c>
      <c r="F139" s="1105">
        <v>0</v>
      </c>
      <c r="G139" s="1105">
        <v>2012</v>
      </c>
      <c r="H139" s="1105">
        <v>2012</v>
      </c>
      <c r="I139" s="1106"/>
      <c r="J139" s="1107"/>
    </row>
    <row r="140" spans="1:10" x14ac:dyDescent="0.35">
      <c r="A140" s="1104"/>
      <c r="B140" s="1105" t="s">
        <v>836</v>
      </c>
      <c r="C140" s="1105" t="s">
        <v>839</v>
      </c>
      <c r="D140" s="1105">
        <v>18117</v>
      </c>
      <c r="E140" s="1105" t="s">
        <v>957</v>
      </c>
      <c r="F140" s="1105">
        <v>0</v>
      </c>
      <c r="G140" s="1105">
        <v>6222</v>
      </c>
      <c r="H140" s="1105">
        <v>6222</v>
      </c>
      <c r="I140" s="1106"/>
      <c r="J140" s="1107"/>
    </row>
    <row r="141" spans="1:10" x14ac:dyDescent="0.35">
      <c r="A141" s="1104"/>
      <c r="B141" s="1105" t="s">
        <v>836</v>
      </c>
      <c r="C141" s="1105" t="s">
        <v>839</v>
      </c>
      <c r="D141" s="1105">
        <v>18136</v>
      </c>
      <c r="E141" s="1105" t="s">
        <v>958</v>
      </c>
      <c r="F141" s="1105">
        <v>538</v>
      </c>
      <c r="G141" s="1105">
        <v>4934</v>
      </c>
      <c r="H141" s="1105">
        <v>4396</v>
      </c>
      <c r="I141" s="1106"/>
      <c r="J141" s="1107"/>
    </row>
    <row r="142" spans="1:10" x14ac:dyDescent="0.35">
      <c r="A142" s="1104"/>
      <c r="B142" s="1105" t="s">
        <v>836</v>
      </c>
      <c r="C142" s="1105" t="s">
        <v>839</v>
      </c>
      <c r="D142" s="1105">
        <v>18138</v>
      </c>
      <c r="E142" s="1105" t="s">
        <v>959</v>
      </c>
      <c r="F142" s="1105">
        <v>1100</v>
      </c>
      <c r="G142" s="1105">
        <v>5421</v>
      </c>
      <c r="H142" s="1105">
        <v>4321</v>
      </c>
      <c r="I142" s="1106"/>
      <c r="J142" s="1107"/>
    </row>
    <row r="143" spans="1:10" x14ac:dyDescent="0.35">
      <c r="A143" s="1104"/>
      <c r="B143" s="1105" t="s">
        <v>836</v>
      </c>
      <c r="C143" s="1105" t="s">
        <v>839</v>
      </c>
      <c r="D143" s="1105">
        <v>18121</v>
      </c>
      <c r="E143" s="1105" t="s">
        <v>960</v>
      </c>
      <c r="F143" s="1105">
        <v>50</v>
      </c>
      <c r="G143" s="1105">
        <v>3680</v>
      </c>
      <c r="H143" s="1105">
        <v>3630</v>
      </c>
      <c r="I143" s="1106"/>
      <c r="J143" s="1107"/>
    </row>
    <row r="144" spans="1:10" x14ac:dyDescent="0.35">
      <c r="A144" s="1104"/>
      <c r="B144" s="1105" t="s">
        <v>836</v>
      </c>
      <c r="C144" s="1105" t="s">
        <v>839</v>
      </c>
      <c r="D144" s="1105">
        <v>18228</v>
      </c>
      <c r="E144" s="1105" t="s">
        <v>961</v>
      </c>
      <c r="F144" s="1105">
        <v>54</v>
      </c>
      <c r="G144" s="1105">
        <v>3351</v>
      </c>
      <c r="H144" s="1105">
        <v>3297</v>
      </c>
      <c r="I144" s="1106"/>
      <c r="J144" s="1107"/>
    </row>
    <row r="145" spans="1:10" x14ac:dyDescent="0.35">
      <c r="A145" s="1104"/>
      <c r="B145" s="1105" t="s">
        <v>836</v>
      </c>
      <c r="C145" s="1105" t="s">
        <v>839</v>
      </c>
      <c r="D145" s="1105">
        <v>18109</v>
      </c>
      <c r="E145" s="1105" t="s">
        <v>962</v>
      </c>
      <c r="F145" s="1105">
        <v>704</v>
      </c>
      <c r="G145" s="1105">
        <v>1593</v>
      </c>
      <c r="H145" s="1105">
        <v>889</v>
      </c>
      <c r="I145" s="1106"/>
      <c r="J145" s="1107"/>
    </row>
    <row r="146" spans="1:10" s="192" customFormat="1" x14ac:dyDescent="0.35">
      <c r="A146" s="1104"/>
      <c r="B146" s="1105" t="s">
        <v>836</v>
      </c>
      <c r="C146" s="1105" t="s">
        <v>839</v>
      </c>
      <c r="D146" s="1105">
        <v>18236</v>
      </c>
      <c r="E146" s="1105" t="s">
        <v>963</v>
      </c>
      <c r="F146" s="1105">
        <v>0</v>
      </c>
      <c r="G146" s="1105">
        <v>1590</v>
      </c>
      <c r="H146" s="1105">
        <v>1590</v>
      </c>
      <c r="I146" s="1106"/>
      <c r="J146" s="1107"/>
    </row>
    <row r="147" spans="1:10" x14ac:dyDescent="0.35">
      <c r="A147" s="1104"/>
      <c r="B147" s="1105" t="s">
        <v>836</v>
      </c>
      <c r="C147" s="1105" t="s">
        <v>839</v>
      </c>
      <c r="D147" s="1105">
        <v>18205</v>
      </c>
      <c r="E147" s="1105" t="s">
        <v>964</v>
      </c>
      <c r="F147" s="1105">
        <v>35</v>
      </c>
      <c r="G147" s="1105">
        <v>2725</v>
      </c>
      <c r="H147" s="1105">
        <v>2690</v>
      </c>
      <c r="I147" s="1106"/>
      <c r="J147" s="1107"/>
    </row>
    <row r="148" spans="1:10" s="192" customFormat="1" x14ac:dyDescent="0.35">
      <c r="A148" s="1104"/>
      <c r="B148" s="1105" t="s">
        <v>836</v>
      </c>
      <c r="C148" s="1105" t="s">
        <v>868</v>
      </c>
      <c r="D148" s="1105">
        <v>22226</v>
      </c>
      <c r="E148" s="1105" t="s">
        <v>965</v>
      </c>
      <c r="F148" s="1105">
        <v>90</v>
      </c>
      <c r="G148" s="1105">
        <v>3100</v>
      </c>
      <c r="H148" s="1105">
        <v>3010</v>
      </c>
      <c r="I148" s="1106"/>
      <c r="J148" s="1107"/>
    </row>
    <row r="149" spans="1:10" x14ac:dyDescent="0.35">
      <c r="A149" s="1104"/>
      <c r="B149" s="1105" t="s">
        <v>836</v>
      </c>
      <c r="C149" s="1105" t="s">
        <v>839</v>
      </c>
      <c r="D149" s="1105">
        <v>18109</v>
      </c>
      <c r="E149" s="1105" t="s">
        <v>962</v>
      </c>
      <c r="F149" s="1105">
        <v>1593</v>
      </c>
      <c r="G149" s="1105">
        <v>3617</v>
      </c>
      <c r="H149" s="1105">
        <v>2024</v>
      </c>
      <c r="I149" s="1106"/>
      <c r="J149" s="1107"/>
    </row>
    <row r="150" spans="1:10" x14ac:dyDescent="0.35">
      <c r="A150" s="1104"/>
      <c r="B150" s="1105" t="s">
        <v>836</v>
      </c>
      <c r="C150" s="1105" t="s">
        <v>839</v>
      </c>
      <c r="D150" s="1105">
        <v>18109</v>
      </c>
      <c r="E150" s="1105" t="s">
        <v>962</v>
      </c>
      <c r="F150" s="1105">
        <v>3795</v>
      </c>
      <c r="G150" s="1105">
        <v>5800</v>
      </c>
      <c r="H150" s="1105">
        <v>2005</v>
      </c>
      <c r="I150" s="1106"/>
      <c r="J150" s="1107"/>
    </row>
    <row r="151" spans="1:10" x14ac:dyDescent="0.35">
      <c r="A151" s="1104"/>
      <c r="B151" s="1105" t="s">
        <v>836</v>
      </c>
      <c r="C151" s="1105" t="s">
        <v>839</v>
      </c>
      <c r="D151" s="1105">
        <v>18109</v>
      </c>
      <c r="E151" s="1105" t="s">
        <v>962</v>
      </c>
      <c r="F151" s="1105">
        <v>5800</v>
      </c>
      <c r="G151" s="1105">
        <v>6384</v>
      </c>
      <c r="H151" s="1105">
        <v>584</v>
      </c>
      <c r="I151" s="1106"/>
      <c r="J151" s="1107"/>
    </row>
    <row r="152" spans="1:10" x14ac:dyDescent="0.35">
      <c r="A152" s="1104"/>
      <c r="B152" s="1105" t="s">
        <v>836</v>
      </c>
      <c r="C152" s="1105" t="s">
        <v>868</v>
      </c>
      <c r="D152" s="1105">
        <v>22226</v>
      </c>
      <c r="E152" s="1105" t="s">
        <v>965</v>
      </c>
      <c r="F152" s="1105">
        <v>3100</v>
      </c>
      <c r="G152" s="1105">
        <v>4662</v>
      </c>
      <c r="H152" s="1105">
        <v>1562</v>
      </c>
      <c r="I152" s="1106"/>
      <c r="J152" s="1107"/>
    </row>
    <row r="153" spans="1:10" x14ac:dyDescent="0.35">
      <c r="A153" s="1104"/>
      <c r="B153" s="1105" t="s">
        <v>836</v>
      </c>
      <c r="C153" s="1105" t="s">
        <v>837</v>
      </c>
      <c r="D153" s="1105">
        <v>23211</v>
      </c>
      <c r="E153" s="1105" t="s">
        <v>966</v>
      </c>
      <c r="F153" s="1105">
        <v>0</v>
      </c>
      <c r="G153" s="1105">
        <v>1272</v>
      </c>
      <c r="H153" s="1105">
        <v>1272</v>
      </c>
      <c r="I153" s="1106"/>
      <c r="J153" s="1107"/>
    </row>
    <row r="154" spans="1:10" x14ac:dyDescent="0.35">
      <c r="A154" s="1104"/>
      <c r="B154" s="1105" t="s">
        <v>836</v>
      </c>
      <c r="C154" s="1105" t="s">
        <v>839</v>
      </c>
      <c r="D154" s="1105">
        <v>18213</v>
      </c>
      <c r="E154" s="1105" t="s">
        <v>967</v>
      </c>
      <c r="F154" s="1105">
        <v>22</v>
      </c>
      <c r="G154" s="1105">
        <v>3795</v>
      </c>
      <c r="H154" s="1105">
        <v>3773</v>
      </c>
      <c r="I154" s="1106"/>
      <c r="J154" s="1107"/>
    </row>
    <row r="155" spans="1:10" x14ac:dyDescent="0.35">
      <c r="A155" s="1104"/>
      <c r="B155" s="1105" t="s">
        <v>842</v>
      </c>
      <c r="C155" s="1105" t="s">
        <v>887</v>
      </c>
      <c r="D155" s="1105">
        <v>24196</v>
      </c>
      <c r="E155" s="1105" t="s">
        <v>968</v>
      </c>
      <c r="F155" s="1105">
        <v>1682</v>
      </c>
      <c r="G155" s="1105">
        <v>2381</v>
      </c>
      <c r="H155" s="1105">
        <v>699</v>
      </c>
      <c r="I155" s="1106"/>
      <c r="J155" s="1107"/>
    </row>
    <row r="156" spans="1:10" x14ac:dyDescent="0.35">
      <c r="A156" s="1104"/>
      <c r="B156" s="1105" t="s">
        <v>836</v>
      </c>
      <c r="C156" s="1105" t="s">
        <v>839</v>
      </c>
      <c r="D156" s="1105">
        <v>18218</v>
      </c>
      <c r="E156" s="1105" t="s">
        <v>955</v>
      </c>
      <c r="F156" s="1105">
        <v>4500</v>
      </c>
      <c r="G156" s="1105">
        <v>5811</v>
      </c>
      <c r="H156" s="1105">
        <v>1311</v>
      </c>
      <c r="I156" s="1106"/>
      <c r="J156" s="1107"/>
    </row>
    <row r="157" spans="1:10" x14ac:dyDescent="0.35">
      <c r="A157" s="1104"/>
      <c r="B157" s="1105" t="s">
        <v>836</v>
      </c>
      <c r="C157" s="1105" t="s">
        <v>839</v>
      </c>
      <c r="D157" s="1105">
        <v>18218</v>
      </c>
      <c r="E157" s="1105" t="s">
        <v>955</v>
      </c>
      <c r="F157" s="1105">
        <v>45</v>
      </c>
      <c r="G157" s="1105">
        <v>1500</v>
      </c>
      <c r="H157" s="1105">
        <v>1455</v>
      </c>
      <c r="I157" s="1106"/>
      <c r="J157" s="1107"/>
    </row>
    <row r="158" spans="1:10" x14ac:dyDescent="0.35">
      <c r="A158" s="1104"/>
      <c r="B158" s="1105" t="s">
        <v>836</v>
      </c>
      <c r="C158" s="1105" t="s">
        <v>839</v>
      </c>
      <c r="D158" s="1105">
        <v>18218</v>
      </c>
      <c r="E158" s="1105" t="s">
        <v>955</v>
      </c>
      <c r="F158" s="1105">
        <v>1500</v>
      </c>
      <c r="G158" s="1105">
        <v>4500</v>
      </c>
      <c r="H158" s="1105">
        <v>3000</v>
      </c>
      <c r="I158" s="1106"/>
      <c r="J158" s="1107"/>
    </row>
    <row r="159" spans="1:10" x14ac:dyDescent="0.35">
      <c r="A159" s="1104"/>
      <c r="B159" s="1105" t="s">
        <v>836</v>
      </c>
      <c r="C159" s="1105" t="s">
        <v>837</v>
      </c>
      <c r="D159" s="1105">
        <v>23206</v>
      </c>
      <c r="E159" s="1105" t="s">
        <v>969</v>
      </c>
      <c r="F159" s="1105">
        <v>35</v>
      </c>
      <c r="G159" s="1105">
        <v>3613</v>
      </c>
      <c r="H159" s="1105">
        <v>3578</v>
      </c>
      <c r="I159" s="1106"/>
      <c r="J159" s="1107"/>
    </row>
    <row r="160" spans="1:10" x14ac:dyDescent="0.35">
      <c r="A160" s="1104"/>
      <c r="B160" s="1105" t="s">
        <v>836</v>
      </c>
      <c r="C160" s="1105" t="s">
        <v>868</v>
      </c>
      <c r="D160" s="1105">
        <v>22245</v>
      </c>
      <c r="E160" s="1105" t="s">
        <v>970</v>
      </c>
      <c r="F160" s="1105">
        <v>130</v>
      </c>
      <c r="G160" s="1105">
        <v>7776</v>
      </c>
      <c r="H160" s="1105">
        <v>7646</v>
      </c>
      <c r="I160" s="1106"/>
      <c r="J160" s="1107"/>
    </row>
    <row r="161" spans="1:10" x14ac:dyDescent="0.35">
      <c r="A161" s="1104"/>
      <c r="B161" s="1105" t="s">
        <v>836</v>
      </c>
      <c r="C161" s="1105" t="s">
        <v>868</v>
      </c>
      <c r="D161" s="1105">
        <v>22212</v>
      </c>
      <c r="E161" s="1105" t="s">
        <v>971</v>
      </c>
      <c r="F161" s="1105">
        <v>20</v>
      </c>
      <c r="G161" s="1105">
        <v>6055</v>
      </c>
      <c r="H161" s="1105">
        <v>6035</v>
      </c>
      <c r="I161" s="1106"/>
      <c r="J161" s="1107"/>
    </row>
    <row r="162" spans="1:10" x14ac:dyDescent="0.35">
      <c r="A162" s="1104"/>
      <c r="B162" s="1105" t="s">
        <v>854</v>
      </c>
      <c r="C162" s="1105" t="s">
        <v>864</v>
      </c>
      <c r="D162" s="1105">
        <v>20102</v>
      </c>
      <c r="E162" s="1105" t="s">
        <v>890</v>
      </c>
      <c r="F162" s="1105">
        <v>3402</v>
      </c>
      <c r="G162" s="1105">
        <v>7910</v>
      </c>
      <c r="H162" s="1105">
        <v>4508</v>
      </c>
      <c r="I162" s="1106"/>
      <c r="J162" s="1107"/>
    </row>
    <row r="163" spans="1:10" x14ac:dyDescent="0.35">
      <c r="A163" s="1104"/>
      <c r="B163" s="1105" t="s">
        <v>836</v>
      </c>
      <c r="C163" s="1105" t="s">
        <v>868</v>
      </c>
      <c r="D163" s="1105">
        <v>22286</v>
      </c>
      <c r="E163" s="1105" t="s">
        <v>972</v>
      </c>
      <c r="F163" s="1105">
        <v>10143</v>
      </c>
      <c r="G163" s="1105">
        <v>14801</v>
      </c>
      <c r="H163" s="1105">
        <v>4658</v>
      </c>
      <c r="I163" s="1106"/>
      <c r="J163" s="1107"/>
    </row>
    <row r="164" spans="1:10" x14ac:dyDescent="0.35">
      <c r="A164" s="1104"/>
      <c r="B164" s="1105" t="s">
        <v>836</v>
      </c>
      <c r="C164" s="1105" t="s">
        <v>837</v>
      </c>
      <c r="D164" s="1105">
        <v>23110</v>
      </c>
      <c r="E164" s="1105" t="s">
        <v>973</v>
      </c>
      <c r="F164" s="1105">
        <v>0</v>
      </c>
      <c r="G164" s="1105">
        <v>8649</v>
      </c>
      <c r="H164" s="1105">
        <v>8649</v>
      </c>
      <c r="I164" s="1106"/>
      <c r="J164" s="1107"/>
    </row>
    <row r="165" spans="1:10" x14ac:dyDescent="0.35">
      <c r="A165" s="1104"/>
      <c r="B165" s="1105" t="s">
        <v>836</v>
      </c>
      <c r="C165" s="1105" t="s">
        <v>868</v>
      </c>
      <c r="D165" s="1105">
        <v>22289</v>
      </c>
      <c r="E165" s="1105" t="s">
        <v>974</v>
      </c>
      <c r="F165" s="1105">
        <v>74</v>
      </c>
      <c r="G165" s="1105">
        <v>4480</v>
      </c>
      <c r="H165" s="1105">
        <v>4406</v>
      </c>
      <c r="I165" s="1106"/>
      <c r="J165" s="1107"/>
    </row>
    <row r="166" spans="1:10" x14ac:dyDescent="0.35">
      <c r="A166" s="1104"/>
      <c r="B166" s="1105" t="s">
        <v>836</v>
      </c>
      <c r="C166" s="1105" t="s">
        <v>837</v>
      </c>
      <c r="D166" s="1105">
        <v>23224</v>
      </c>
      <c r="E166" s="1105" t="s">
        <v>975</v>
      </c>
      <c r="F166" s="1105">
        <v>53</v>
      </c>
      <c r="G166" s="1105">
        <v>3777</v>
      </c>
      <c r="H166" s="1105">
        <v>3724</v>
      </c>
      <c r="I166" s="1106"/>
      <c r="J166" s="1107"/>
    </row>
    <row r="167" spans="1:10" x14ac:dyDescent="0.35">
      <c r="A167" s="1104"/>
      <c r="B167" s="1105" t="s">
        <v>836</v>
      </c>
      <c r="C167" s="1105" t="s">
        <v>837</v>
      </c>
      <c r="D167" s="1105">
        <v>23167</v>
      </c>
      <c r="E167" s="1105" t="s">
        <v>976</v>
      </c>
      <c r="F167" s="1105">
        <v>3840</v>
      </c>
      <c r="G167" s="1105">
        <v>10579</v>
      </c>
      <c r="H167" s="1105">
        <v>6739</v>
      </c>
      <c r="I167" s="1106"/>
      <c r="J167" s="1107"/>
    </row>
    <row r="168" spans="1:10" x14ac:dyDescent="0.35">
      <c r="A168" s="1104"/>
      <c r="B168" s="1105" t="s">
        <v>836</v>
      </c>
      <c r="C168" s="1105" t="s">
        <v>837</v>
      </c>
      <c r="D168" s="1105">
        <v>23245</v>
      </c>
      <c r="E168" s="1105" t="s">
        <v>977</v>
      </c>
      <c r="F168" s="1105">
        <v>0</v>
      </c>
      <c r="G168" s="1105">
        <v>2740</v>
      </c>
      <c r="H168" s="1105">
        <v>2740</v>
      </c>
      <c r="I168" s="1106"/>
      <c r="J168" s="1107"/>
    </row>
    <row r="169" spans="1:10" x14ac:dyDescent="0.35">
      <c r="A169" s="1104"/>
      <c r="B169" s="1105" t="s">
        <v>842</v>
      </c>
      <c r="C169" s="1105" t="s">
        <v>887</v>
      </c>
      <c r="D169" s="1105">
        <v>24174</v>
      </c>
      <c r="E169" s="1105" t="s">
        <v>978</v>
      </c>
      <c r="F169" s="1105">
        <v>1410</v>
      </c>
      <c r="G169" s="1105">
        <v>6308</v>
      </c>
      <c r="H169" s="1105">
        <v>4898</v>
      </c>
      <c r="I169" s="1106"/>
      <c r="J169" s="1107"/>
    </row>
    <row r="170" spans="1:10" x14ac:dyDescent="0.35">
      <c r="A170" s="1104"/>
      <c r="B170" s="1105" t="s">
        <v>836</v>
      </c>
      <c r="C170" s="1105" t="s">
        <v>868</v>
      </c>
      <c r="D170" s="1105">
        <v>22183</v>
      </c>
      <c r="E170" s="1105" t="s">
        <v>979</v>
      </c>
      <c r="F170" s="1105">
        <v>2429</v>
      </c>
      <c r="G170" s="1105">
        <v>4970</v>
      </c>
      <c r="H170" s="1105">
        <v>2541</v>
      </c>
      <c r="I170" s="1106"/>
      <c r="J170" s="1107"/>
    </row>
    <row r="171" spans="1:10" x14ac:dyDescent="0.35">
      <c r="A171" s="1104"/>
      <c r="B171" s="1105" t="s">
        <v>842</v>
      </c>
      <c r="C171" s="1105" t="s">
        <v>860</v>
      </c>
      <c r="D171" s="1105">
        <v>12118</v>
      </c>
      <c r="E171" s="1105" t="s">
        <v>980</v>
      </c>
      <c r="F171" s="1105">
        <v>5550</v>
      </c>
      <c r="G171" s="1105">
        <v>9950</v>
      </c>
      <c r="H171" s="1105">
        <v>4400</v>
      </c>
      <c r="I171" s="1106"/>
      <c r="J171" s="1107"/>
    </row>
    <row r="172" spans="1:10" x14ac:dyDescent="0.35">
      <c r="A172" s="1104"/>
      <c r="B172" s="1105" t="s">
        <v>842</v>
      </c>
      <c r="C172" s="1105" t="s">
        <v>860</v>
      </c>
      <c r="D172" s="1105">
        <v>12118</v>
      </c>
      <c r="E172" s="1105" t="s">
        <v>980</v>
      </c>
      <c r="F172" s="1105">
        <v>9950</v>
      </c>
      <c r="G172" s="1105">
        <v>9960</v>
      </c>
      <c r="H172" s="1105">
        <v>10</v>
      </c>
      <c r="I172" s="1106"/>
      <c r="J172" s="1107"/>
    </row>
    <row r="173" spans="1:10" x14ac:dyDescent="0.35">
      <c r="A173" s="1104"/>
      <c r="B173" s="1105" t="s">
        <v>836</v>
      </c>
      <c r="C173" s="1105" t="s">
        <v>851</v>
      </c>
      <c r="D173" s="1105">
        <v>25232</v>
      </c>
      <c r="E173" s="1105" t="s">
        <v>981</v>
      </c>
      <c r="F173" s="1105">
        <v>320</v>
      </c>
      <c r="G173" s="1105">
        <v>1437</v>
      </c>
      <c r="H173" s="1105">
        <v>1117</v>
      </c>
      <c r="I173" s="1106"/>
      <c r="J173" s="1107"/>
    </row>
    <row r="174" spans="1:10" x14ac:dyDescent="0.35">
      <c r="A174" s="1104"/>
      <c r="B174" s="1105" t="s">
        <v>836</v>
      </c>
      <c r="C174" s="1105" t="s">
        <v>837</v>
      </c>
      <c r="D174" s="1105">
        <v>23128</v>
      </c>
      <c r="E174" s="1105" t="s">
        <v>982</v>
      </c>
      <c r="F174" s="1105">
        <v>20</v>
      </c>
      <c r="G174" s="1105">
        <v>3103</v>
      </c>
      <c r="H174" s="1105">
        <v>3083</v>
      </c>
      <c r="I174" s="1106"/>
      <c r="J174" s="1107"/>
    </row>
    <row r="175" spans="1:10" x14ac:dyDescent="0.35">
      <c r="A175" s="1104"/>
      <c r="B175" s="1105" t="s">
        <v>842</v>
      </c>
      <c r="C175" s="1105" t="s">
        <v>845</v>
      </c>
      <c r="D175" s="1105">
        <v>16161</v>
      </c>
      <c r="E175" s="1105" t="s">
        <v>983</v>
      </c>
      <c r="F175" s="1105">
        <v>1650</v>
      </c>
      <c r="G175" s="1105">
        <v>9146</v>
      </c>
      <c r="H175" s="1105">
        <v>7496</v>
      </c>
      <c r="I175" s="1106"/>
      <c r="J175" s="1107"/>
    </row>
    <row r="176" spans="1:10" x14ac:dyDescent="0.35">
      <c r="A176" s="1104"/>
      <c r="B176" s="1105" t="s">
        <v>836</v>
      </c>
      <c r="C176" s="1105" t="s">
        <v>896</v>
      </c>
      <c r="D176" s="1105">
        <v>14107</v>
      </c>
      <c r="E176" s="1105" t="s">
        <v>984</v>
      </c>
      <c r="F176" s="1105">
        <v>8430</v>
      </c>
      <c r="G176" s="1105">
        <v>8511</v>
      </c>
      <c r="H176" s="1105">
        <v>81</v>
      </c>
      <c r="I176" s="1106"/>
      <c r="J176" s="1107"/>
    </row>
    <row r="177" spans="1:10" x14ac:dyDescent="0.35">
      <c r="A177" s="1104"/>
      <c r="B177" s="1105" t="s">
        <v>836</v>
      </c>
      <c r="C177" s="1105" t="s">
        <v>896</v>
      </c>
      <c r="D177" s="1105">
        <v>14107</v>
      </c>
      <c r="E177" s="1105" t="s">
        <v>984</v>
      </c>
      <c r="F177" s="1105">
        <v>8842</v>
      </c>
      <c r="G177" s="1105">
        <v>10142</v>
      </c>
      <c r="H177" s="1105">
        <v>1300</v>
      </c>
      <c r="I177" s="1106"/>
      <c r="J177" s="1107"/>
    </row>
    <row r="178" spans="1:10" x14ac:dyDescent="0.35">
      <c r="A178" s="1104"/>
      <c r="B178" s="1105" t="s">
        <v>842</v>
      </c>
      <c r="C178" s="1105" t="s">
        <v>860</v>
      </c>
      <c r="D178" s="1105">
        <v>12131</v>
      </c>
      <c r="E178" s="1105" t="s">
        <v>872</v>
      </c>
      <c r="F178" s="1105">
        <v>1330</v>
      </c>
      <c r="G178" s="1105">
        <v>3365</v>
      </c>
      <c r="H178" s="1105">
        <v>2035</v>
      </c>
      <c r="I178" s="1106"/>
      <c r="J178" s="1107"/>
    </row>
    <row r="179" spans="1:10" x14ac:dyDescent="0.35">
      <c r="A179" s="1104"/>
      <c r="B179" s="1105" t="s">
        <v>842</v>
      </c>
      <c r="C179" s="1105" t="s">
        <v>845</v>
      </c>
      <c r="D179" s="1105">
        <v>16190</v>
      </c>
      <c r="E179" s="1105" t="s">
        <v>985</v>
      </c>
      <c r="F179" s="1105">
        <v>8410</v>
      </c>
      <c r="G179" s="1105">
        <v>11400</v>
      </c>
      <c r="H179" s="1105">
        <v>2990</v>
      </c>
      <c r="I179" s="1106"/>
      <c r="J179" s="1107"/>
    </row>
    <row r="180" spans="1:10" x14ac:dyDescent="0.35">
      <c r="A180" s="1104"/>
      <c r="B180" s="1105" t="s">
        <v>842</v>
      </c>
      <c r="C180" s="1105" t="s">
        <v>845</v>
      </c>
      <c r="D180" s="1105">
        <v>16190</v>
      </c>
      <c r="E180" s="1105" t="s">
        <v>985</v>
      </c>
      <c r="F180" s="1105">
        <v>11400</v>
      </c>
      <c r="G180" s="1105">
        <v>12825</v>
      </c>
      <c r="H180" s="1105">
        <v>1425</v>
      </c>
      <c r="I180" s="1106"/>
      <c r="J180" s="1107"/>
    </row>
    <row r="181" spans="1:10" x14ac:dyDescent="0.35">
      <c r="A181" s="1104"/>
      <c r="B181" s="1105" t="s">
        <v>836</v>
      </c>
      <c r="C181" s="1105" t="s">
        <v>896</v>
      </c>
      <c r="D181" s="1105">
        <v>14128</v>
      </c>
      <c r="E181" s="1105" t="s">
        <v>986</v>
      </c>
      <c r="F181" s="1105">
        <v>0</v>
      </c>
      <c r="G181" s="1105">
        <v>2841</v>
      </c>
      <c r="H181" s="1105">
        <v>2841</v>
      </c>
      <c r="I181" s="1106"/>
      <c r="J181" s="1107"/>
    </row>
    <row r="182" spans="1:10" x14ac:dyDescent="0.35">
      <c r="A182" s="1104"/>
      <c r="B182" s="1105" t="s">
        <v>842</v>
      </c>
      <c r="C182" s="1105" t="s">
        <v>848</v>
      </c>
      <c r="D182" s="1105">
        <v>19208</v>
      </c>
      <c r="E182" s="1105" t="s">
        <v>987</v>
      </c>
      <c r="F182" s="1105">
        <v>0</v>
      </c>
      <c r="G182" s="1105">
        <v>5301</v>
      </c>
      <c r="H182" s="1105">
        <v>5301</v>
      </c>
      <c r="I182" s="1106"/>
      <c r="J182" s="1107"/>
    </row>
    <row r="183" spans="1:10" x14ac:dyDescent="0.35">
      <c r="A183" s="1104"/>
      <c r="B183" s="1105" t="s">
        <v>842</v>
      </c>
      <c r="C183" s="1105" t="s">
        <v>887</v>
      </c>
      <c r="D183" s="1105">
        <v>24123</v>
      </c>
      <c r="E183" s="1105" t="s">
        <v>988</v>
      </c>
      <c r="F183" s="1105">
        <v>10981</v>
      </c>
      <c r="G183" s="1105">
        <v>13245</v>
      </c>
      <c r="H183" s="1105">
        <v>2264</v>
      </c>
      <c r="I183" s="1106"/>
      <c r="J183" s="1107"/>
    </row>
    <row r="184" spans="1:10" x14ac:dyDescent="0.35">
      <c r="A184" s="1104"/>
      <c r="B184" s="1105" t="s">
        <v>842</v>
      </c>
      <c r="C184" s="1105" t="s">
        <v>848</v>
      </c>
      <c r="D184" s="1105">
        <v>16176</v>
      </c>
      <c r="E184" s="1105" t="s">
        <v>882</v>
      </c>
      <c r="F184" s="1105">
        <v>4428</v>
      </c>
      <c r="G184" s="1105">
        <v>11074</v>
      </c>
      <c r="H184" s="1105">
        <v>6646</v>
      </c>
      <c r="I184" s="1106"/>
      <c r="J184" s="1107"/>
    </row>
    <row r="185" spans="1:10" x14ac:dyDescent="0.35">
      <c r="A185" s="1104"/>
      <c r="B185" s="1105" t="s">
        <v>842</v>
      </c>
      <c r="C185" s="1105" t="s">
        <v>845</v>
      </c>
      <c r="D185" s="1105">
        <v>16189</v>
      </c>
      <c r="E185" s="1105" t="s">
        <v>989</v>
      </c>
      <c r="F185" s="1105">
        <v>0</v>
      </c>
      <c r="G185" s="1105">
        <v>1088</v>
      </c>
      <c r="H185" s="1105">
        <v>1088</v>
      </c>
      <c r="I185" s="1106"/>
      <c r="J185" s="1107"/>
    </row>
    <row r="186" spans="1:10" x14ac:dyDescent="0.35">
      <c r="A186" s="1104"/>
      <c r="B186" s="1105" t="s">
        <v>854</v>
      </c>
      <c r="C186" s="1105" t="s">
        <v>864</v>
      </c>
      <c r="D186" s="1105">
        <v>20254</v>
      </c>
      <c r="E186" s="1105" t="s">
        <v>990</v>
      </c>
      <c r="F186" s="1105">
        <v>30</v>
      </c>
      <c r="G186" s="1105">
        <v>3410</v>
      </c>
      <c r="H186" s="1105">
        <v>3380</v>
      </c>
      <c r="I186" s="1106"/>
      <c r="J186" s="1107"/>
    </row>
    <row r="187" spans="1:10" x14ac:dyDescent="0.35">
      <c r="A187" s="1104"/>
      <c r="B187" s="1105" t="s">
        <v>836</v>
      </c>
      <c r="C187" s="1105" t="s">
        <v>839</v>
      </c>
      <c r="D187" s="1105">
        <v>18202</v>
      </c>
      <c r="E187" s="1105" t="s">
        <v>991</v>
      </c>
      <c r="F187" s="1105">
        <v>127</v>
      </c>
      <c r="G187" s="1105">
        <v>884</v>
      </c>
      <c r="H187" s="1105">
        <v>757</v>
      </c>
      <c r="I187" s="1106"/>
      <c r="J187" s="1107"/>
    </row>
    <row r="188" spans="1:10" x14ac:dyDescent="0.35">
      <c r="A188" s="1104"/>
      <c r="B188" s="1105" t="s">
        <v>854</v>
      </c>
      <c r="C188" s="1105" t="s">
        <v>864</v>
      </c>
      <c r="D188" s="1105">
        <v>20157</v>
      </c>
      <c r="E188" s="1105" t="s">
        <v>992</v>
      </c>
      <c r="F188" s="1105">
        <v>10430</v>
      </c>
      <c r="G188" s="1105">
        <v>11198</v>
      </c>
      <c r="H188" s="1105">
        <v>768</v>
      </c>
      <c r="I188" s="1106"/>
      <c r="J188" s="1107"/>
    </row>
    <row r="189" spans="1:10" x14ac:dyDescent="0.35">
      <c r="A189" s="1104"/>
      <c r="B189" s="1105" t="s">
        <v>842</v>
      </c>
      <c r="C189" s="1105" t="s">
        <v>887</v>
      </c>
      <c r="D189" s="1105">
        <v>24132</v>
      </c>
      <c r="E189" s="1105" t="s">
        <v>993</v>
      </c>
      <c r="F189" s="1105">
        <v>7915</v>
      </c>
      <c r="G189" s="1105">
        <v>15562</v>
      </c>
      <c r="H189" s="1105">
        <v>7647</v>
      </c>
      <c r="I189" s="1106"/>
      <c r="J189" s="1107"/>
    </row>
    <row r="190" spans="1:10" x14ac:dyDescent="0.35">
      <c r="A190" s="1104"/>
      <c r="B190" s="1105" t="s">
        <v>854</v>
      </c>
      <c r="C190" s="1105" t="s">
        <v>864</v>
      </c>
      <c r="D190" s="1105">
        <v>19244</v>
      </c>
      <c r="E190" s="1105" t="s">
        <v>994</v>
      </c>
      <c r="F190" s="1105">
        <v>6588</v>
      </c>
      <c r="G190" s="1105">
        <v>13748</v>
      </c>
      <c r="H190" s="1105">
        <v>7160</v>
      </c>
      <c r="I190" s="1106"/>
      <c r="J190" s="1107"/>
    </row>
    <row r="191" spans="1:10" x14ac:dyDescent="0.35">
      <c r="A191" s="1104"/>
      <c r="B191" s="1105" t="s">
        <v>836</v>
      </c>
      <c r="C191" s="1105" t="s">
        <v>851</v>
      </c>
      <c r="D191" s="1105">
        <v>25225</v>
      </c>
      <c r="E191" s="1105" t="s">
        <v>995</v>
      </c>
      <c r="F191" s="1105">
        <v>224</v>
      </c>
      <c r="G191" s="1105">
        <v>3328</v>
      </c>
      <c r="H191" s="1105">
        <v>3104</v>
      </c>
      <c r="I191" s="1106"/>
      <c r="J191" s="1107"/>
    </row>
    <row r="192" spans="1:10" x14ac:dyDescent="0.35">
      <c r="A192" s="1104"/>
      <c r="B192" s="1105" t="s">
        <v>854</v>
      </c>
      <c r="C192" s="1105" t="s">
        <v>864</v>
      </c>
      <c r="D192" s="1105">
        <v>20199</v>
      </c>
      <c r="E192" s="1105" t="s">
        <v>996</v>
      </c>
      <c r="F192" s="1105">
        <v>0</v>
      </c>
      <c r="G192" s="1105">
        <v>4316</v>
      </c>
      <c r="H192" s="1105">
        <v>4316</v>
      </c>
      <c r="I192" s="1106"/>
      <c r="J192" s="1107"/>
    </row>
    <row r="193" spans="1:10" x14ac:dyDescent="0.35">
      <c r="A193" s="1104"/>
      <c r="B193" s="1105" t="s">
        <v>836</v>
      </c>
      <c r="C193" s="1105" t="s">
        <v>896</v>
      </c>
      <c r="D193" s="1105">
        <v>14166</v>
      </c>
      <c r="E193" s="1105" t="s">
        <v>997</v>
      </c>
      <c r="F193" s="1105">
        <v>5216</v>
      </c>
      <c r="G193" s="1105">
        <v>8384</v>
      </c>
      <c r="H193" s="1105">
        <v>3168</v>
      </c>
      <c r="I193" s="1106"/>
      <c r="J193" s="1107"/>
    </row>
    <row r="194" spans="1:10" x14ac:dyDescent="0.35">
      <c r="A194" s="1104"/>
      <c r="B194" s="1105" t="s">
        <v>836</v>
      </c>
      <c r="C194" s="1105" t="s">
        <v>851</v>
      </c>
      <c r="D194" s="1105">
        <v>25179</v>
      </c>
      <c r="E194" s="1105" t="s">
        <v>998</v>
      </c>
      <c r="F194" s="1105">
        <v>1688</v>
      </c>
      <c r="G194" s="1105">
        <v>4273</v>
      </c>
      <c r="H194" s="1105">
        <v>2585</v>
      </c>
      <c r="I194" s="1106"/>
      <c r="J194" s="1107"/>
    </row>
    <row r="195" spans="1:10" x14ac:dyDescent="0.35">
      <c r="A195" s="1104"/>
      <c r="B195" s="1105" t="s">
        <v>836</v>
      </c>
      <c r="C195" s="1105" t="s">
        <v>851</v>
      </c>
      <c r="D195" s="1105">
        <v>18105</v>
      </c>
      <c r="E195" s="1105" t="s">
        <v>910</v>
      </c>
      <c r="F195" s="1105">
        <v>7951</v>
      </c>
      <c r="G195" s="1105">
        <v>8074</v>
      </c>
      <c r="H195" s="1105">
        <v>123</v>
      </c>
      <c r="I195" s="1106"/>
      <c r="J195" s="1107"/>
    </row>
    <row r="196" spans="1:10" x14ac:dyDescent="0.35">
      <c r="A196" s="1104"/>
      <c r="B196" s="1105" t="s">
        <v>836</v>
      </c>
      <c r="C196" s="1105" t="s">
        <v>851</v>
      </c>
      <c r="D196" s="1105">
        <v>25179</v>
      </c>
      <c r="E196" s="1105" t="s">
        <v>998</v>
      </c>
      <c r="F196" s="1105">
        <v>0</v>
      </c>
      <c r="G196" s="1105">
        <v>813</v>
      </c>
      <c r="H196" s="1105">
        <v>813</v>
      </c>
      <c r="I196" s="1106"/>
      <c r="J196" s="1107"/>
    </row>
    <row r="197" spans="1:10" x14ac:dyDescent="0.35">
      <c r="A197" s="1104"/>
      <c r="B197" s="1105" t="s">
        <v>836</v>
      </c>
      <c r="C197" s="1105" t="s">
        <v>896</v>
      </c>
      <c r="D197" s="1105">
        <v>14190</v>
      </c>
      <c r="E197" s="1105" t="s">
        <v>999</v>
      </c>
      <c r="F197" s="1105">
        <v>0</v>
      </c>
      <c r="G197" s="1105">
        <v>5200</v>
      </c>
      <c r="H197" s="1105">
        <v>5200</v>
      </c>
      <c r="I197" s="1106"/>
      <c r="J197" s="1107"/>
    </row>
    <row r="198" spans="1:10" x14ac:dyDescent="0.35">
      <c r="A198" s="1104"/>
      <c r="B198" s="1105" t="s">
        <v>842</v>
      </c>
      <c r="C198" s="1105" t="s">
        <v>860</v>
      </c>
      <c r="D198" s="1105">
        <v>12130</v>
      </c>
      <c r="E198" s="1105" t="s">
        <v>881</v>
      </c>
      <c r="F198" s="1105">
        <v>7100</v>
      </c>
      <c r="G198" s="1105">
        <v>7935</v>
      </c>
      <c r="H198" s="1105">
        <v>835</v>
      </c>
      <c r="I198" s="1106"/>
      <c r="J198" s="1107"/>
    </row>
    <row r="199" spans="1:10" x14ac:dyDescent="0.35">
      <c r="A199" s="1104"/>
      <c r="B199" s="1105" t="s">
        <v>836</v>
      </c>
      <c r="C199" s="1105" t="s">
        <v>837</v>
      </c>
      <c r="D199" s="1105">
        <v>23140</v>
      </c>
      <c r="E199" s="1105" t="s">
        <v>1000</v>
      </c>
      <c r="F199" s="1105">
        <v>78</v>
      </c>
      <c r="G199" s="1105">
        <v>3930</v>
      </c>
      <c r="H199" s="1105">
        <v>3852</v>
      </c>
      <c r="I199" s="1106"/>
      <c r="J199" s="1107"/>
    </row>
    <row r="200" spans="1:10" x14ac:dyDescent="0.35">
      <c r="A200" s="1104"/>
      <c r="B200" s="1105" t="s">
        <v>842</v>
      </c>
      <c r="C200" s="1105" t="s">
        <v>887</v>
      </c>
      <c r="D200" s="1105">
        <v>24145</v>
      </c>
      <c r="E200" s="1105" t="s">
        <v>1001</v>
      </c>
      <c r="F200" s="1105">
        <v>3486</v>
      </c>
      <c r="G200" s="1105">
        <v>11506</v>
      </c>
      <c r="H200" s="1105">
        <v>8020</v>
      </c>
      <c r="I200" s="1106"/>
      <c r="J200" s="1107"/>
    </row>
    <row r="201" spans="1:10" x14ac:dyDescent="0.35">
      <c r="A201" s="1104"/>
      <c r="B201" s="1105" t="s">
        <v>854</v>
      </c>
      <c r="C201" s="1105" t="s">
        <v>864</v>
      </c>
      <c r="D201" s="1105">
        <v>20253</v>
      </c>
      <c r="E201" s="1105" t="s">
        <v>1002</v>
      </c>
      <c r="F201" s="1105">
        <v>0</v>
      </c>
      <c r="G201" s="1105">
        <v>1343</v>
      </c>
      <c r="H201" s="1105">
        <v>1343</v>
      </c>
      <c r="I201" s="1106"/>
      <c r="J201" s="1107"/>
    </row>
    <row r="202" spans="1:10" x14ac:dyDescent="0.35">
      <c r="A202" s="1104"/>
      <c r="B202" s="1105" t="s">
        <v>836</v>
      </c>
      <c r="C202" s="1105" t="s">
        <v>851</v>
      </c>
      <c r="D202" s="1105">
        <v>25164</v>
      </c>
      <c r="E202" s="1105" t="s">
        <v>1003</v>
      </c>
      <c r="F202" s="1105">
        <v>13800</v>
      </c>
      <c r="G202" s="1105">
        <v>20595</v>
      </c>
      <c r="H202" s="1105">
        <v>6795</v>
      </c>
      <c r="I202" s="1106"/>
      <c r="J202" s="1107"/>
    </row>
    <row r="203" spans="1:10" x14ac:dyDescent="0.35">
      <c r="A203" s="1104"/>
      <c r="B203" s="1105" t="s">
        <v>850</v>
      </c>
      <c r="C203" s="1105" t="s">
        <v>1004</v>
      </c>
      <c r="D203" s="1105">
        <v>15151</v>
      </c>
      <c r="E203" s="1105" t="s">
        <v>1005</v>
      </c>
      <c r="F203" s="1105">
        <v>0</v>
      </c>
      <c r="G203" s="1105">
        <v>1000</v>
      </c>
      <c r="H203" s="1105">
        <v>1000</v>
      </c>
      <c r="I203" s="1106"/>
      <c r="J203" s="1107"/>
    </row>
    <row r="204" spans="1:10" x14ac:dyDescent="0.35">
      <c r="A204" s="1104"/>
      <c r="B204" s="1105" t="s">
        <v>836</v>
      </c>
      <c r="C204" s="1105" t="s">
        <v>837</v>
      </c>
      <c r="D204" s="1105">
        <v>23207</v>
      </c>
      <c r="E204" s="1105" t="s">
        <v>1006</v>
      </c>
      <c r="F204" s="1105">
        <v>72</v>
      </c>
      <c r="G204" s="1105">
        <v>1785</v>
      </c>
      <c r="H204" s="1105">
        <v>1713</v>
      </c>
      <c r="I204" s="1106"/>
      <c r="J204" s="1107"/>
    </row>
    <row r="205" spans="1:10" x14ac:dyDescent="0.35">
      <c r="A205" s="1104"/>
      <c r="B205" s="1105" t="s">
        <v>836</v>
      </c>
      <c r="C205" s="1105" t="s">
        <v>896</v>
      </c>
      <c r="D205" s="1105">
        <v>14222</v>
      </c>
      <c r="E205" s="1105" t="s">
        <v>1007</v>
      </c>
      <c r="F205" s="1105">
        <v>0</v>
      </c>
      <c r="G205" s="1105">
        <v>2397</v>
      </c>
      <c r="H205" s="1105">
        <v>2397</v>
      </c>
      <c r="I205" s="1106"/>
      <c r="J205" s="1107"/>
    </row>
    <row r="206" spans="1:10" x14ac:dyDescent="0.35">
      <c r="A206" s="1104"/>
      <c r="B206" s="1105" t="s">
        <v>836</v>
      </c>
      <c r="C206" s="1105" t="s">
        <v>837</v>
      </c>
      <c r="D206" s="1105">
        <v>23211</v>
      </c>
      <c r="E206" s="1105" t="s">
        <v>966</v>
      </c>
      <c r="F206" s="1105">
        <v>1272</v>
      </c>
      <c r="G206" s="1105">
        <v>4183</v>
      </c>
      <c r="H206" s="1105">
        <v>2911</v>
      </c>
      <c r="I206" s="1106"/>
      <c r="J206" s="1107"/>
    </row>
    <row r="207" spans="1:10" x14ac:dyDescent="0.35">
      <c r="A207" s="1104"/>
      <c r="B207" s="1105" t="s">
        <v>836</v>
      </c>
      <c r="C207" s="1105" t="s">
        <v>839</v>
      </c>
      <c r="D207" s="1105">
        <v>18113</v>
      </c>
      <c r="E207" s="1105" t="s">
        <v>1008</v>
      </c>
      <c r="F207" s="1105">
        <v>2105</v>
      </c>
      <c r="G207" s="1105">
        <v>6602</v>
      </c>
      <c r="H207" s="1105">
        <v>4497</v>
      </c>
      <c r="I207" s="1106"/>
      <c r="J207" s="1107"/>
    </row>
    <row r="208" spans="1:10" x14ac:dyDescent="0.35">
      <c r="A208" s="1104"/>
      <c r="B208" s="1105" t="s">
        <v>850</v>
      </c>
      <c r="C208" s="1105" t="s">
        <v>1004</v>
      </c>
      <c r="D208" s="1105">
        <v>15151</v>
      </c>
      <c r="E208" s="1105" t="s">
        <v>1005</v>
      </c>
      <c r="F208" s="1105">
        <v>1000</v>
      </c>
      <c r="G208" s="1105">
        <v>2090</v>
      </c>
      <c r="H208" s="1105">
        <v>1090</v>
      </c>
      <c r="I208" s="1106"/>
      <c r="J208" s="1107"/>
    </row>
    <row r="209" spans="1:10" x14ac:dyDescent="0.35">
      <c r="A209" s="1104"/>
      <c r="B209" s="1105" t="s">
        <v>850</v>
      </c>
      <c r="C209" s="1105" t="s">
        <v>902</v>
      </c>
      <c r="D209" s="1105">
        <v>15151</v>
      </c>
      <c r="E209" s="1105" t="s">
        <v>1005</v>
      </c>
      <c r="F209" s="1105">
        <v>2090</v>
      </c>
      <c r="G209" s="1105">
        <v>3547</v>
      </c>
      <c r="H209" s="1105">
        <v>1457</v>
      </c>
      <c r="I209" s="1106"/>
      <c r="J209" s="1107"/>
    </row>
    <row r="210" spans="1:10" x14ac:dyDescent="0.35">
      <c r="A210" s="1104"/>
      <c r="B210" s="1105" t="s">
        <v>842</v>
      </c>
      <c r="C210" s="1105" t="s">
        <v>848</v>
      </c>
      <c r="D210" s="1105">
        <v>19307</v>
      </c>
      <c r="E210" s="1105" t="s">
        <v>1009</v>
      </c>
      <c r="F210" s="1105">
        <v>0</v>
      </c>
      <c r="G210" s="1105">
        <v>5050</v>
      </c>
      <c r="H210" s="1105">
        <v>5050</v>
      </c>
      <c r="I210" s="1106"/>
      <c r="J210" s="1107"/>
    </row>
    <row r="211" spans="1:10" x14ac:dyDescent="0.35">
      <c r="A211" s="1104"/>
      <c r="B211" s="1105" t="s">
        <v>842</v>
      </c>
      <c r="C211" s="1105" t="s">
        <v>848</v>
      </c>
      <c r="D211" s="1105">
        <v>19337</v>
      </c>
      <c r="E211" s="1105" t="s">
        <v>1010</v>
      </c>
      <c r="F211" s="1105">
        <v>13235</v>
      </c>
      <c r="G211" s="1105">
        <v>18882</v>
      </c>
      <c r="H211" s="1105">
        <v>5647</v>
      </c>
      <c r="I211" s="1106"/>
      <c r="J211" s="1107"/>
    </row>
    <row r="212" spans="1:10" x14ac:dyDescent="0.35">
      <c r="A212" s="1104"/>
      <c r="B212" s="1105" t="s">
        <v>836</v>
      </c>
      <c r="C212" s="1105" t="s">
        <v>896</v>
      </c>
      <c r="D212" s="1105">
        <v>14232</v>
      </c>
      <c r="E212" s="1105" t="s">
        <v>1011</v>
      </c>
      <c r="F212" s="1105">
        <v>0</v>
      </c>
      <c r="G212" s="1105">
        <v>3558</v>
      </c>
      <c r="H212" s="1105">
        <v>3558</v>
      </c>
      <c r="I212" s="1106"/>
      <c r="J212" s="1107"/>
    </row>
    <row r="213" spans="1:10" x14ac:dyDescent="0.35">
      <c r="A213" s="1104"/>
      <c r="B213" s="1105" t="s">
        <v>842</v>
      </c>
      <c r="C213" s="1105" t="s">
        <v>843</v>
      </c>
      <c r="D213" s="1105">
        <v>21123</v>
      </c>
      <c r="E213" s="1105" t="s">
        <v>1012</v>
      </c>
      <c r="F213" s="1105">
        <v>6401</v>
      </c>
      <c r="G213" s="1105">
        <v>11582</v>
      </c>
      <c r="H213" s="1105">
        <v>5181</v>
      </c>
      <c r="I213" s="1106"/>
      <c r="J213" s="1107"/>
    </row>
    <row r="214" spans="1:10" x14ac:dyDescent="0.35">
      <c r="A214" s="1104"/>
      <c r="B214" s="1105" t="s">
        <v>836</v>
      </c>
      <c r="C214" s="1105" t="s">
        <v>896</v>
      </c>
      <c r="D214" s="1105">
        <v>14151</v>
      </c>
      <c r="E214" s="1105" t="s">
        <v>1013</v>
      </c>
      <c r="F214" s="1105">
        <v>952</v>
      </c>
      <c r="G214" s="1105">
        <v>4438</v>
      </c>
      <c r="H214" s="1105">
        <v>3486</v>
      </c>
      <c r="I214" s="1106"/>
      <c r="J214" s="1107"/>
    </row>
    <row r="215" spans="1:10" x14ac:dyDescent="0.35">
      <c r="A215" s="1104"/>
      <c r="B215" s="1105" t="s">
        <v>836</v>
      </c>
      <c r="C215" s="1105" t="s">
        <v>896</v>
      </c>
      <c r="D215" s="1105">
        <v>14227</v>
      </c>
      <c r="E215" s="1105" t="s">
        <v>1014</v>
      </c>
      <c r="F215" s="1105">
        <v>2600</v>
      </c>
      <c r="G215" s="1105">
        <v>3555</v>
      </c>
      <c r="H215" s="1105">
        <v>955</v>
      </c>
      <c r="I215" s="1106"/>
      <c r="J215" s="1107"/>
    </row>
    <row r="216" spans="1:10" x14ac:dyDescent="0.35">
      <c r="A216" s="1104"/>
      <c r="B216" s="1105" t="s">
        <v>842</v>
      </c>
      <c r="C216" s="1105" t="s">
        <v>887</v>
      </c>
      <c r="D216" s="1105">
        <v>24123</v>
      </c>
      <c r="E216" s="1105" t="s">
        <v>988</v>
      </c>
      <c r="F216" s="1105">
        <v>3225</v>
      </c>
      <c r="G216" s="1105">
        <v>9468</v>
      </c>
      <c r="H216" s="1105">
        <v>6243</v>
      </c>
      <c r="I216" s="1106"/>
      <c r="J216" s="1107"/>
    </row>
    <row r="217" spans="1:10" x14ac:dyDescent="0.35">
      <c r="A217" s="1104"/>
      <c r="B217" s="1105" t="s">
        <v>836</v>
      </c>
      <c r="C217" s="1105" t="s">
        <v>839</v>
      </c>
      <c r="D217" s="1105">
        <v>18138</v>
      </c>
      <c r="E217" s="1105" t="s">
        <v>959</v>
      </c>
      <c r="F217" s="1105">
        <v>12104</v>
      </c>
      <c r="G217" s="1105">
        <v>14955</v>
      </c>
      <c r="H217" s="1105">
        <v>2851</v>
      </c>
      <c r="I217" s="1106"/>
      <c r="J217" s="1107"/>
    </row>
    <row r="218" spans="1:10" x14ac:dyDescent="0.35">
      <c r="A218" s="1104"/>
      <c r="B218" s="1105" t="s">
        <v>836</v>
      </c>
      <c r="C218" s="1105" t="s">
        <v>839</v>
      </c>
      <c r="D218" s="1105">
        <v>23140</v>
      </c>
      <c r="E218" s="1105" t="s">
        <v>1000</v>
      </c>
      <c r="F218" s="1105">
        <v>10778</v>
      </c>
      <c r="G218" s="1105">
        <v>16042</v>
      </c>
      <c r="H218" s="1105">
        <v>5264</v>
      </c>
      <c r="I218" s="1106"/>
      <c r="J218" s="1107"/>
    </row>
    <row r="219" spans="1:10" x14ac:dyDescent="0.35">
      <c r="A219" s="1104"/>
      <c r="B219" s="1105" t="s">
        <v>842</v>
      </c>
      <c r="C219" s="1105" t="s">
        <v>848</v>
      </c>
      <c r="D219" s="1105">
        <v>19335</v>
      </c>
      <c r="E219" s="1105" t="s">
        <v>1015</v>
      </c>
      <c r="F219" s="1105">
        <v>213</v>
      </c>
      <c r="G219" s="1105">
        <v>2835</v>
      </c>
      <c r="H219" s="1105">
        <v>2622</v>
      </c>
      <c r="I219" s="1106"/>
      <c r="J219" s="1107"/>
    </row>
    <row r="220" spans="1:10" x14ac:dyDescent="0.35">
      <c r="A220" s="1104"/>
      <c r="B220" s="1105" t="s">
        <v>836</v>
      </c>
      <c r="C220" s="1105" t="s">
        <v>851</v>
      </c>
      <c r="D220" s="1105">
        <v>25177</v>
      </c>
      <c r="E220" s="1105" t="s">
        <v>1016</v>
      </c>
      <c r="F220" s="1105">
        <v>0</v>
      </c>
      <c r="G220" s="1105">
        <v>7974</v>
      </c>
      <c r="H220" s="1105">
        <v>7974</v>
      </c>
      <c r="I220" s="1106"/>
      <c r="J220" s="1107"/>
    </row>
    <row r="221" spans="1:10" x14ac:dyDescent="0.35">
      <c r="A221" s="1104"/>
      <c r="B221" s="1105" t="s">
        <v>850</v>
      </c>
      <c r="C221" s="1105" t="s">
        <v>902</v>
      </c>
      <c r="D221" s="1105">
        <v>15186</v>
      </c>
      <c r="E221" s="1105" t="s">
        <v>1017</v>
      </c>
      <c r="F221" s="1105">
        <v>0</v>
      </c>
      <c r="G221" s="1105">
        <v>2789</v>
      </c>
      <c r="H221" s="1105">
        <v>2789</v>
      </c>
      <c r="I221" s="1106"/>
      <c r="J221" s="1107"/>
    </row>
    <row r="222" spans="1:10" x14ac:dyDescent="0.35">
      <c r="A222" s="1104"/>
      <c r="B222" s="1105" t="s">
        <v>842</v>
      </c>
      <c r="C222" s="1105" t="s">
        <v>848</v>
      </c>
      <c r="D222" s="1105">
        <v>19334</v>
      </c>
      <c r="E222" s="1105" t="s">
        <v>1018</v>
      </c>
      <c r="F222" s="1105">
        <v>12390</v>
      </c>
      <c r="G222" s="1105">
        <v>19329</v>
      </c>
      <c r="H222" s="1105">
        <v>6939</v>
      </c>
      <c r="I222" s="1106"/>
      <c r="J222" s="1107"/>
    </row>
    <row r="223" spans="1:10" x14ac:dyDescent="0.35">
      <c r="A223" s="1104"/>
      <c r="B223" s="1105" t="s">
        <v>836</v>
      </c>
      <c r="C223" s="1105" t="s">
        <v>851</v>
      </c>
      <c r="D223" s="1105">
        <v>25207</v>
      </c>
      <c r="E223" s="1105" t="s">
        <v>1019</v>
      </c>
      <c r="F223" s="1105">
        <v>0</v>
      </c>
      <c r="G223" s="1105">
        <v>2135</v>
      </c>
      <c r="H223" s="1105">
        <v>2135</v>
      </c>
      <c r="I223" s="1106"/>
      <c r="J223" s="1107"/>
    </row>
    <row r="224" spans="1:10" x14ac:dyDescent="0.35">
      <c r="A224" s="1104"/>
      <c r="B224" s="1105" t="s">
        <v>836</v>
      </c>
      <c r="C224" s="1105" t="s">
        <v>837</v>
      </c>
      <c r="D224" s="1105">
        <v>23153</v>
      </c>
      <c r="E224" s="1105" t="s">
        <v>1020</v>
      </c>
      <c r="F224" s="1105">
        <v>26</v>
      </c>
      <c r="G224" s="1105">
        <v>2367</v>
      </c>
      <c r="H224" s="1105">
        <v>2341</v>
      </c>
      <c r="I224" s="1106"/>
      <c r="J224" s="1107"/>
    </row>
    <row r="225" spans="1:10" x14ac:dyDescent="0.35">
      <c r="A225" s="1104"/>
      <c r="B225" s="1105" t="s">
        <v>836</v>
      </c>
      <c r="C225" s="1105" t="s">
        <v>837</v>
      </c>
      <c r="D225" s="1105">
        <v>23154</v>
      </c>
      <c r="E225" s="1105" t="s">
        <v>1021</v>
      </c>
      <c r="F225" s="1105">
        <v>57</v>
      </c>
      <c r="G225" s="1105">
        <v>5546</v>
      </c>
      <c r="H225" s="1105">
        <v>5489</v>
      </c>
      <c r="I225" s="1106"/>
      <c r="J225" s="1107"/>
    </row>
    <row r="226" spans="1:10" x14ac:dyDescent="0.35">
      <c r="A226" s="1104"/>
      <c r="B226" s="1105" t="s">
        <v>836</v>
      </c>
      <c r="C226" s="1105" t="s">
        <v>837</v>
      </c>
      <c r="D226" s="1105">
        <v>23176</v>
      </c>
      <c r="E226" s="1105" t="s">
        <v>1022</v>
      </c>
      <c r="F226" s="1105">
        <v>250</v>
      </c>
      <c r="G226" s="1105">
        <v>3800</v>
      </c>
      <c r="H226" s="1105">
        <v>3550</v>
      </c>
      <c r="I226" s="1106"/>
      <c r="J226" s="1107"/>
    </row>
    <row r="227" spans="1:10" x14ac:dyDescent="0.35">
      <c r="A227" s="1104"/>
      <c r="B227" s="1105" t="s">
        <v>836</v>
      </c>
      <c r="C227" s="1105" t="s">
        <v>837</v>
      </c>
      <c r="D227" s="1105">
        <v>23238</v>
      </c>
      <c r="E227" s="1105" t="s">
        <v>930</v>
      </c>
      <c r="F227" s="1105">
        <v>0</v>
      </c>
      <c r="G227" s="1105">
        <v>3163</v>
      </c>
      <c r="H227" s="1105">
        <v>3163</v>
      </c>
      <c r="I227" s="1106"/>
      <c r="J227" s="1107"/>
    </row>
    <row r="228" spans="1:10" x14ac:dyDescent="0.35">
      <c r="A228" s="1104"/>
      <c r="B228" s="1105" t="s">
        <v>850</v>
      </c>
      <c r="C228" s="1105" t="s">
        <v>902</v>
      </c>
      <c r="D228" s="1105">
        <v>17112</v>
      </c>
      <c r="E228" s="1105" t="s">
        <v>1023</v>
      </c>
      <c r="F228" s="1105">
        <v>3880</v>
      </c>
      <c r="G228" s="1105">
        <v>5460</v>
      </c>
      <c r="H228" s="1105">
        <v>1580</v>
      </c>
      <c r="I228" s="1106"/>
      <c r="J228" s="1107"/>
    </row>
    <row r="229" spans="1:10" x14ac:dyDescent="0.35">
      <c r="A229" s="1104"/>
      <c r="B229" s="1105" t="s">
        <v>836</v>
      </c>
      <c r="C229" s="1105" t="s">
        <v>896</v>
      </c>
      <c r="D229" s="1105">
        <v>14105</v>
      </c>
      <c r="E229" s="1105" t="s">
        <v>1024</v>
      </c>
      <c r="F229" s="1105">
        <v>0</v>
      </c>
      <c r="G229" s="1105">
        <v>6270</v>
      </c>
      <c r="H229" s="1105">
        <v>6270</v>
      </c>
      <c r="I229" s="1106"/>
      <c r="J229" s="1107"/>
    </row>
    <row r="230" spans="1:10" x14ac:dyDescent="0.35">
      <c r="A230" s="1104"/>
      <c r="B230" s="1105" t="s">
        <v>850</v>
      </c>
      <c r="C230" s="1105" t="s">
        <v>902</v>
      </c>
      <c r="D230" s="1105">
        <v>15183</v>
      </c>
      <c r="E230" s="1105" t="s">
        <v>1025</v>
      </c>
      <c r="F230" s="1105">
        <v>0</v>
      </c>
      <c r="G230" s="1105">
        <v>5353</v>
      </c>
      <c r="H230" s="1105">
        <v>5353</v>
      </c>
      <c r="I230" s="1106"/>
      <c r="J230" s="1107"/>
    </row>
    <row r="231" spans="1:10" x14ac:dyDescent="0.35">
      <c r="A231" s="1104"/>
      <c r="B231" s="1105" t="s">
        <v>836</v>
      </c>
      <c r="C231" s="1105" t="s">
        <v>896</v>
      </c>
      <c r="D231" s="1105">
        <v>14120</v>
      </c>
      <c r="E231" s="1105" t="s">
        <v>1026</v>
      </c>
      <c r="F231" s="1105">
        <v>0</v>
      </c>
      <c r="G231" s="1105">
        <v>4000</v>
      </c>
      <c r="H231" s="1105">
        <v>4000</v>
      </c>
      <c r="I231" s="1106"/>
      <c r="J231" s="1107"/>
    </row>
    <row r="232" spans="1:10" x14ac:dyDescent="0.35">
      <c r="A232" s="1104"/>
      <c r="B232" s="1105" t="s">
        <v>836</v>
      </c>
      <c r="C232" s="1105" t="s">
        <v>839</v>
      </c>
      <c r="D232" s="1105">
        <v>18118</v>
      </c>
      <c r="E232" s="1105" t="s">
        <v>1027</v>
      </c>
      <c r="F232" s="1105">
        <v>9990</v>
      </c>
      <c r="G232" s="1105">
        <v>12833</v>
      </c>
      <c r="H232" s="1105">
        <v>2843</v>
      </c>
      <c r="I232" s="1106"/>
      <c r="J232" s="1107"/>
    </row>
    <row r="233" spans="1:10" x14ac:dyDescent="0.35">
      <c r="A233" s="1104"/>
      <c r="B233" s="1105" t="s">
        <v>836</v>
      </c>
      <c r="C233" s="1105" t="s">
        <v>839</v>
      </c>
      <c r="D233" s="1105">
        <v>18118</v>
      </c>
      <c r="E233" s="1105" t="s">
        <v>1027</v>
      </c>
      <c r="F233" s="1105">
        <v>12833</v>
      </c>
      <c r="G233" s="1105">
        <v>15192</v>
      </c>
      <c r="H233" s="1105">
        <v>2359</v>
      </c>
      <c r="I233" s="1106"/>
      <c r="J233" s="1107"/>
    </row>
    <row r="234" spans="1:10" x14ac:dyDescent="0.35">
      <c r="A234" s="1104"/>
      <c r="B234" s="1105" t="s">
        <v>836</v>
      </c>
      <c r="C234" s="1105" t="s">
        <v>837</v>
      </c>
      <c r="D234" s="1105">
        <v>23143</v>
      </c>
      <c r="E234" s="1105" t="s">
        <v>1028</v>
      </c>
      <c r="F234" s="1105">
        <v>0</v>
      </c>
      <c r="G234" s="1105">
        <v>2546</v>
      </c>
      <c r="H234" s="1105">
        <v>2546</v>
      </c>
      <c r="I234" s="1106"/>
      <c r="J234" s="1107"/>
    </row>
    <row r="235" spans="1:10" x14ac:dyDescent="0.35">
      <c r="A235" s="1104"/>
      <c r="B235" s="1105" t="s">
        <v>842</v>
      </c>
      <c r="C235" s="1105" t="s">
        <v>843</v>
      </c>
      <c r="D235" s="1105">
        <v>21179</v>
      </c>
      <c r="E235" s="1105" t="s">
        <v>1029</v>
      </c>
      <c r="F235" s="1105">
        <v>60</v>
      </c>
      <c r="G235" s="1105">
        <v>2900</v>
      </c>
      <c r="H235" s="1105">
        <v>2840</v>
      </c>
      <c r="I235" s="1106"/>
      <c r="J235" s="1107"/>
    </row>
    <row r="236" spans="1:10" x14ac:dyDescent="0.35">
      <c r="A236" s="1104"/>
      <c r="B236" s="1105" t="s">
        <v>836</v>
      </c>
      <c r="C236" s="1105" t="s">
        <v>837</v>
      </c>
      <c r="D236" s="1105">
        <v>23240</v>
      </c>
      <c r="E236" s="1105" t="s">
        <v>1030</v>
      </c>
      <c r="F236" s="1105">
        <v>56</v>
      </c>
      <c r="G236" s="1105">
        <v>3896</v>
      </c>
      <c r="H236" s="1105">
        <v>3840</v>
      </c>
      <c r="I236" s="1106"/>
      <c r="J236" s="1107"/>
    </row>
    <row r="237" spans="1:10" x14ac:dyDescent="0.35">
      <c r="A237" s="1104"/>
      <c r="B237" s="1105" t="s">
        <v>836</v>
      </c>
      <c r="C237" s="1105" t="s">
        <v>851</v>
      </c>
      <c r="D237" s="1105">
        <v>25234</v>
      </c>
      <c r="E237" s="1105" t="s">
        <v>1031</v>
      </c>
      <c r="F237" s="1105">
        <v>612</v>
      </c>
      <c r="G237" s="1105">
        <v>7555</v>
      </c>
      <c r="H237" s="1105">
        <v>6943</v>
      </c>
      <c r="I237" s="1106"/>
      <c r="J237" s="1107"/>
    </row>
    <row r="238" spans="1:10" x14ac:dyDescent="0.35">
      <c r="A238" s="1104"/>
      <c r="B238" s="1105" t="s">
        <v>842</v>
      </c>
      <c r="C238" s="1105" t="s">
        <v>887</v>
      </c>
      <c r="D238" s="1105">
        <v>24145</v>
      </c>
      <c r="E238" s="1105" t="s">
        <v>1001</v>
      </c>
      <c r="F238" s="1105">
        <v>3406</v>
      </c>
      <c r="G238" s="1105">
        <v>3486</v>
      </c>
      <c r="H238" s="1105">
        <v>80</v>
      </c>
      <c r="I238" s="1106"/>
      <c r="J238" s="1107"/>
    </row>
    <row r="239" spans="1:10" x14ac:dyDescent="0.35">
      <c r="A239" s="1104"/>
      <c r="B239" s="1105" t="s">
        <v>836</v>
      </c>
      <c r="C239" s="1105" t="s">
        <v>837</v>
      </c>
      <c r="D239" s="1105">
        <v>23109</v>
      </c>
      <c r="E239" s="1105" t="s">
        <v>1032</v>
      </c>
      <c r="F239" s="1105">
        <v>60</v>
      </c>
      <c r="G239" s="1105">
        <v>3220</v>
      </c>
      <c r="H239" s="1105">
        <v>3160</v>
      </c>
      <c r="I239" s="1106"/>
      <c r="J239" s="1107"/>
    </row>
    <row r="240" spans="1:10" x14ac:dyDescent="0.35">
      <c r="A240" s="1104"/>
      <c r="B240" s="1105" t="s">
        <v>850</v>
      </c>
      <c r="C240" s="1105" t="s">
        <v>902</v>
      </c>
      <c r="D240" s="1105">
        <v>15190</v>
      </c>
      <c r="E240" s="1105" t="s">
        <v>1033</v>
      </c>
      <c r="F240" s="1105">
        <v>0</v>
      </c>
      <c r="G240" s="1105">
        <v>2960</v>
      </c>
      <c r="H240" s="1105">
        <v>2960</v>
      </c>
      <c r="I240" s="1106"/>
      <c r="J240" s="1107"/>
    </row>
    <row r="241" spans="1:10" x14ac:dyDescent="0.35">
      <c r="A241" s="1104"/>
      <c r="B241" s="1105" t="s">
        <v>836</v>
      </c>
      <c r="C241" s="1105" t="s">
        <v>839</v>
      </c>
      <c r="D241" s="1105">
        <v>18138</v>
      </c>
      <c r="E241" s="1105" t="s">
        <v>959</v>
      </c>
      <c r="F241" s="1105">
        <v>45</v>
      </c>
      <c r="G241" s="1105">
        <v>1100</v>
      </c>
      <c r="H241" s="1105">
        <v>1055</v>
      </c>
      <c r="I241" s="1106"/>
      <c r="J241" s="1107"/>
    </row>
    <row r="242" spans="1:10" x14ac:dyDescent="0.35">
      <c r="A242" s="1104"/>
      <c r="B242" s="1105" t="s">
        <v>842</v>
      </c>
      <c r="C242" s="1105" t="s">
        <v>887</v>
      </c>
      <c r="D242" s="1105">
        <v>24196</v>
      </c>
      <c r="E242" s="1105" t="s">
        <v>968</v>
      </c>
      <c r="F242" s="1105">
        <v>2381</v>
      </c>
      <c r="G242" s="1105">
        <v>6584</v>
      </c>
      <c r="H242" s="1105">
        <v>4203</v>
      </c>
      <c r="I242" s="1106"/>
      <c r="J242" s="1107"/>
    </row>
    <row r="243" spans="1:10" x14ac:dyDescent="0.35">
      <c r="A243" s="1104"/>
      <c r="B243" s="1105" t="s">
        <v>842</v>
      </c>
      <c r="C243" s="1105" t="s">
        <v>843</v>
      </c>
      <c r="D243" s="1105">
        <v>21158</v>
      </c>
      <c r="E243" s="1105" t="s">
        <v>1034</v>
      </c>
      <c r="F243" s="1105">
        <v>4019</v>
      </c>
      <c r="G243" s="1105">
        <v>7504</v>
      </c>
      <c r="H243" s="1105">
        <v>3485</v>
      </c>
      <c r="I243" s="1106"/>
      <c r="J243" s="1107"/>
    </row>
    <row r="244" spans="1:10" x14ac:dyDescent="0.35">
      <c r="A244" s="1104"/>
      <c r="B244" s="1105" t="s">
        <v>836</v>
      </c>
      <c r="C244" s="1105" t="s">
        <v>851</v>
      </c>
      <c r="D244" s="1105">
        <v>18105</v>
      </c>
      <c r="E244" s="1105" t="s">
        <v>910</v>
      </c>
      <c r="F244" s="1105">
        <v>5614</v>
      </c>
      <c r="G244" s="1105">
        <v>7951</v>
      </c>
      <c r="H244" s="1105">
        <v>2337</v>
      </c>
      <c r="I244" s="1106"/>
      <c r="J244" s="1107"/>
    </row>
    <row r="245" spans="1:10" x14ac:dyDescent="0.35">
      <c r="A245" s="1104"/>
      <c r="B245" s="1105" t="s">
        <v>836</v>
      </c>
      <c r="C245" s="1105" t="s">
        <v>837</v>
      </c>
      <c r="D245" s="1105">
        <v>23210</v>
      </c>
      <c r="E245" s="1105" t="s">
        <v>1035</v>
      </c>
      <c r="F245" s="1105">
        <v>0</v>
      </c>
      <c r="G245" s="1105">
        <v>7000</v>
      </c>
      <c r="H245" s="1105">
        <v>7000</v>
      </c>
      <c r="I245" s="1106"/>
      <c r="J245" s="1107"/>
    </row>
    <row r="246" spans="1:10" x14ac:dyDescent="0.35">
      <c r="A246" s="1104"/>
      <c r="B246" s="1105" t="s">
        <v>836</v>
      </c>
      <c r="C246" s="1105" t="s">
        <v>837</v>
      </c>
      <c r="D246" s="1105">
        <v>23210</v>
      </c>
      <c r="E246" s="1105" t="s">
        <v>1035</v>
      </c>
      <c r="F246" s="1105">
        <v>7000</v>
      </c>
      <c r="G246" s="1105">
        <v>8000</v>
      </c>
      <c r="H246" s="1105">
        <v>1000</v>
      </c>
      <c r="I246" s="1106"/>
      <c r="J246" s="1107"/>
    </row>
    <row r="247" spans="1:10" x14ac:dyDescent="0.35">
      <c r="A247" s="1104"/>
      <c r="B247" s="1105" t="s">
        <v>836</v>
      </c>
      <c r="C247" s="1105" t="s">
        <v>837</v>
      </c>
      <c r="D247" s="1105">
        <v>23210</v>
      </c>
      <c r="E247" s="1105" t="s">
        <v>1035</v>
      </c>
      <c r="F247" s="1105">
        <v>8000</v>
      </c>
      <c r="G247" s="1105">
        <v>8184</v>
      </c>
      <c r="H247" s="1105">
        <v>184</v>
      </c>
      <c r="I247" s="1106"/>
      <c r="J247" s="1107"/>
    </row>
    <row r="248" spans="1:10" x14ac:dyDescent="0.35">
      <c r="A248" s="1104"/>
      <c r="B248" s="1105" t="s">
        <v>836</v>
      </c>
      <c r="C248" s="1105" t="s">
        <v>851</v>
      </c>
      <c r="D248" s="1105">
        <v>25108</v>
      </c>
      <c r="E248" s="1105" t="s">
        <v>1036</v>
      </c>
      <c r="F248" s="1105">
        <v>22012</v>
      </c>
      <c r="G248" s="1105">
        <v>23131</v>
      </c>
      <c r="H248" s="1105">
        <v>1119</v>
      </c>
      <c r="I248" s="1106"/>
      <c r="J248" s="1107"/>
    </row>
    <row r="249" spans="1:10" x14ac:dyDescent="0.35">
      <c r="A249" s="1104"/>
      <c r="B249" s="1105" t="s">
        <v>850</v>
      </c>
      <c r="C249" s="1105" t="s">
        <v>893</v>
      </c>
      <c r="D249" s="1105">
        <v>13208</v>
      </c>
      <c r="E249" s="1105" t="s">
        <v>1037</v>
      </c>
      <c r="F249" s="1105">
        <v>93</v>
      </c>
      <c r="G249" s="1105">
        <v>2823</v>
      </c>
      <c r="H249" s="1105">
        <v>2730</v>
      </c>
      <c r="I249" s="1106"/>
      <c r="J249" s="1107"/>
    </row>
    <row r="250" spans="1:10" x14ac:dyDescent="0.35">
      <c r="A250" s="1104"/>
      <c r="B250" s="1105" t="s">
        <v>850</v>
      </c>
      <c r="C250" s="1105" t="s">
        <v>902</v>
      </c>
      <c r="D250" s="1105">
        <v>15205</v>
      </c>
      <c r="E250" s="1105" t="s">
        <v>1038</v>
      </c>
      <c r="F250" s="1105">
        <v>0</v>
      </c>
      <c r="G250" s="1105">
        <v>2382</v>
      </c>
      <c r="H250" s="1105">
        <v>2382</v>
      </c>
      <c r="I250" s="1106"/>
      <c r="J250" s="1107"/>
    </row>
    <row r="251" spans="1:10" x14ac:dyDescent="0.35">
      <c r="A251" s="1104"/>
      <c r="B251" s="1105" t="s">
        <v>850</v>
      </c>
      <c r="C251" s="1105" t="s">
        <v>902</v>
      </c>
      <c r="D251" s="1105">
        <v>17112</v>
      </c>
      <c r="E251" s="1105" t="s">
        <v>1023</v>
      </c>
      <c r="F251" s="1105">
        <v>1822</v>
      </c>
      <c r="G251" s="1105">
        <v>3880</v>
      </c>
      <c r="H251" s="1105">
        <v>2058</v>
      </c>
      <c r="I251" s="1106"/>
      <c r="J251" s="1107"/>
    </row>
    <row r="252" spans="1:10" x14ac:dyDescent="0.35">
      <c r="A252" s="1104"/>
      <c r="B252" s="1105" t="s">
        <v>836</v>
      </c>
      <c r="C252" s="1105" t="s">
        <v>837</v>
      </c>
      <c r="D252" s="1105">
        <v>23151</v>
      </c>
      <c r="E252" s="1105" t="s">
        <v>1039</v>
      </c>
      <c r="F252" s="1105">
        <v>992</v>
      </c>
      <c r="G252" s="1105">
        <v>3358</v>
      </c>
      <c r="H252" s="1105">
        <v>2366</v>
      </c>
      <c r="I252" s="1106"/>
      <c r="J252" s="1107"/>
    </row>
    <row r="253" spans="1:10" x14ac:dyDescent="0.35">
      <c r="A253" s="1104"/>
      <c r="B253" s="1105" t="s">
        <v>836</v>
      </c>
      <c r="C253" s="1105" t="s">
        <v>839</v>
      </c>
      <c r="D253" s="1105">
        <v>18113</v>
      </c>
      <c r="E253" s="1105" t="s">
        <v>1008</v>
      </c>
      <c r="F253" s="1105">
        <v>6785</v>
      </c>
      <c r="G253" s="1105">
        <v>7625</v>
      </c>
      <c r="H253" s="1105">
        <v>840</v>
      </c>
      <c r="I253" s="1106"/>
      <c r="J253" s="1107"/>
    </row>
    <row r="254" spans="1:10" x14ac:dyDescent="0.35">
      <c r="A254" s="1104"/>
      <c r="B254" s="1105" t="s">
        <v>836</v>
      </c>
      <c r="C254" s="1105" t="s">
        <v>851</v>
      </c>
      <c r="D254" s="1105">
        <v>18105</v>
      </c>
      <c r="E254" s="1105" t="s">
        <v>910</v>
      </c>
      <c r="F254" s="1105">
        <v>3825</v>
      </c>
      <c r="G254" s="1105">
        <v>5614</v>
      </c>
      <c r="H254" s="1105">
        <v>1789</v>
      </c>
      <c r="I254" s="1106"/>
      <c r="J254" s="1107"/>
    </row>
    <row r="255" spans="1:10" x14ac:dyDescent="0.35">
      <c r="A255" s="1104"/>
      <c r="B255" s="1105" t="s">
        <v>842</v>
      </c>
      <c r="C255" s="1105" t="s">
        <v>843</v>
      </c>
      <c r="D255" s="1105">
        <v>21137</v>
      </c>
      <c r="E255" s="1105" t="s">
        <v>1040</v>
      </c>
      <c r="F255" s="1105">
        <v>81</v>
      </c>
      <c r="G255" s="1105">
        <v>3700</v>
      </c>
      <c r="H255" s="1105">
        <v>3619</v>
      </c>
      <c r="I255" s="1106"/>
      <c r="J255" s="1107"/>
    </row>
    <row r="256" spans="1:10" x14ac:dyDescent="0.35">
      <c r="A256" s="1104"/>
      <c r="B256" s="1105" t="s">
        <v>850</v>
      </c>
      <c r="C256" s="1105" t="s">
        <v>893</v>
      </c>
      <c r="D256" s="1105">
        <v>13193</v>
      </c>
      <c r="E256" s="1105" t="s">
        <v>1041</v>
      </c>
      <c r="F256" s="1105">
        <v>0</v>
      </c>
      <c r="G256" s="1105">
        <v>1800</v>
      </c>
      <c r="H256" s="1105">
        <v>1800</v>
      </c>
      <c r="I256" s="1106"/>
      <c r="J256" s="1107"/>
    </row>
    <row r="257" spans="1:14" x14ac:dyDescent="0.35">
      <c r="A257" s="1104"/>
      <c r="B257" s="1105" t="s">
        <v>850</v>
      </c>
      <c r="C257" s="1105" t="s">
        <v>902</v>
      </c>
      <c r="D257" s="1105">
        <v>15171</v>
      </c>
      <c r="E257" s="1105" t="s">
        <v>1042</v>
      </c>
      <c r="F257" s="1105">
        <v>8908</v>
      </c>
      <c r="G257" s="1105">
        <v>10694</v>
      </c>
      <c r="H257" s="1105">
        <v>1786</v>
      </c>
      <c r="I257" s="1106"/>
      <c r="J257" s="1107"/>
    </row>
    <row r="258" spans="1:14" x14ac:dyDescent="0.35">
      <c r="A258" s="1104"/>
      <c r="B258" s="1105" t="s">
        <v>850</v>
      </c>
      <c r="C258" s="1105" t="s">
        <v>893</v>
      </c>
      <c r="D258" s="1105">
        <v>13167</v>
      </c>
      <c r="E258" s="1105" t="s">
        <v>1043</v>
      </c>
      <c r="F258" s="1105">
        <v>4300</v>
      </c>
      <c r="G258" s="1105">
        <v>8878</v>
      </c>
      <c r="H258" s="1105">
        <v>4578</v>
      </c>
      <c r="I258" s="1106"/>
      <c r="J258" s="1107"/>
    </row>
    <row r="259" spans="1:14" x14ac:dyDescent="0.35">
      <c r="A259" s="1104"/>
      <c r="B259" s="1105" t="s">
        <v>850</v>
      </c>
      <c r="C259" s="1105" t="s">
        <v>893</v>
      </c>
      <c r="D259" s="1105">
        <v>13168</v>
      </c>
      <c r="E259" s="1105" t="s">
        <v>1044</v>
      </c>
      <c r="F259" s="1105">
        <v>0</v>
      </c>
      <c r="G259" s="1105">
        <v>3920</v>
      </c>
      <c r="H259" s="1105">
        <v>3920</v>
      </c>
      <c r="I259" s="1106"/>
      <c r="J259" s="1107"/>
    </row>
    <row r="260" spans="1:14" x14ac:dyDescent="0.35">
      <c r="A260" s="1104"/>
      <c r="B260" s="1105" t="s">
        <v>850</v>
      </c>
      <c r="C260" s="1105" t="s">
        <v>893</v>
      </c>
      <c r="D260" s="1105">
        <v>13180</v>
      </c>
      <c r="E260" s="1105" t="s">
        <v>1045</v>
      </c>
      <c r="F260" s="1105">
        <v>33</v>
      </c>
      <c r="G260" s="1105">
        <v>1738</v>
      </c>
      <c r="H260" s="1105">
        <v>1705</v>
      </c>
      <c r="I260" s="1106"/>
      <c r="J260" s="1107"/>
    </row>
    <row r="261" spans="1:14" x14ac:dyDescent="0.35">
      <c r="A261" s="1108"/>
      <c r="B261" s="1109" t="s">
        <v>850</v>
      </c>
      <c r="C261" s="1109" t="s">
        <v>893</v>
      </c>
      <c r="D261" s="1109">
        <v>13125</v>
      </c>
      <c r="E261" s="1109" t="s">
        <v>1046</v>
      </c>
      <c r="F261" s="1109">
        <v>3930</v>
      </c>
      <c r="G261" s="1109">
        <v>6835</v>
      </c>
      <c r="H261" s="1109">
        <v>2905</v>
      </c>
      <c r="I261" s="1110"/>
      <c r="J261" s="1111"/>
    </row>
    <row r="262" spans="1:14" x14ac:dyDescent="0.35">
      <c r="A262" s="1112"/>
      <c r="B262" s="1113"/>
      <c r="C262" s="1113"/>
      <c r="D262" s="1113"/>
      <c r="E262" s="1547" t="s">
        <v>1047</v>
      </c>
      <c r="F262" s="1547"/>
      <c r="G262" s="1547"/>
      <c r="H262" s="1114">
        <f>SUM(H137:H261)</f>
        <v>401111</v>
      </c>
      <c r="I262" s="1115"/>
      <c r="J262" s="1116"/>
      <c r="L262" s="1548" t="s">
        <v>1048</v>
      </c>
      <c r="M262" s="1548"/>
      <c r="N262" s="1078">
        <v>8277000</v>
      </c>
    </row>
    <row r="264" spans="1:14" ht="18.5" x14ac:dyDescent="0.45">
      <c r="A264" s="1546" t="s">
        <v>1049</v>
      </c>
      <c r="B264" s="1546"/>
      <c r="C264" s="1546"/>
      <c r="D264" s="1546"/>
      <c r="E264" s="1546"/>
      <c r="F264" s="1546"/>
      <c r="G264" s="1546"/>
      <c r="H264" s="1546"/>
      <c r="I264" s="1546"/>
      <c r="J264" s="1546"/>
    </row>
    <row r="265" spans="1:14" ht="18.5" x14ac:dyDescent="0.45">
      <c r="A265" s="1099"/>
      <c r="B265" s="1099"/>
      <c r="C265" s="1099"/>
      <c r="D265" s="1099"/>
      <c r="E265" s="1099"/>
      <c r="F265" s="1099"/>
      <c r="G265" s="1099"/>
      <c r="H265" s="1099"/>
      <c r="I265" s="1099"/>
      <c r="J265" s="1099"/>
    </row>
    <row r="266" spans="1:14" x14ac:dyDescent="0.35">
      <c r="A266" s="1100"/>
      <c r="B266" s="1101" t="s">
        <v>836</v>
      </c>
      <c r="C266" s="1101" t="s">
        <v>839</v>
      </c>
      <c r="D266" s="1101">
        <v>18127</v>
      </c>
      <c r="E266" s="1101" t="s">
        <v>1050</v>
      </c>
      <c r="F266" s="1101">
        <v>397</v>
      </c>
      <c r="G266" s="1101">
        <v>979</v>
      </c>
      <c r="H266" s="1101">
        <v>582</v>
      </c>
      <c r="I266" s="1102"/>
      <c r="J266" s="1103"/>
    </row>
    <row r="267" spans="1:14" x14ac:dyDescent="0.35">
      <c r="A267" s="1104"/>
      <c r="B267" s="1105" t="s">
        <v>836</v>
      </c>
      <c r="C267" s="1105" t="s">
        <v>839</v>
      </c>
      <c r="D267" s="1105">
        <v>18173</v>
      </c>
      <c r="E267" s="1105" t="s">
        <v>1051</v>
      </c>
      <c r="F267" s="1105">
        <v>2960</v>
      </c>
      <c r="G267" s="1105">
        <v>10208</v>
      </c>
      <c r="H267" s="1105">
        <v>7248</v>
      </c>
      <c r="I267" s="1106"/>
      <c r="J267" s="1107"/>
    </row>
    <row r="268" spans="1:14" x14ac:dyDescent="0.35">
      <c r="A268" s="1104"/>
      <c r="B268" s="1105" t="s">
        <v>836</v>
      </c>
      <c r="C268" s="1105" t="s">
        <v>839</v>
      </c>
      <c r="D268" s="1105">
        <v>18169</v>
      </c>
      <c r="E268" s="1105" t="s">
        <v>1052</v>
      </c>
      <c r="F268" s="1105">
        <v>90</v>
      </c>
      <c r="G268" s="1105">
        <v>5593</v>
      </c>
      <c r="H268" s="1105">
        <v>5503</v>
      </c>
      <c r="I268" s="1106"/>
      <c r="J268" s="1107"/>
    </row>
    <row r="269" spans="1:14" x14ac:dyDescent="0.35">
      <c r="A269" s="1104"/>
      <c r="B269" s="1105" t="s">
        <v>836</v>
      </c>
      <c r="C269" s="1105" t="s">
        <v>839</v>
      </c>
      <c r="D269" s="1105">
        <v>18154</v>
      </c>
      <c r="E269" s="1105" t="s">
        <v>1053</v>
      </c>
      <c r="F269" s="1105">
        <v>7437</v>
      </c>
      <c r="G269" s="1105">
        <v>9461</v>
      </c>
      <c r="H269" s="1105">
        <v>2024</v>
      </c>
      <c r="I269" s="1106"/>
      <c r="J269" s="1107"/>
    </row>
    <row r="270" spans="1:14" x14ac:dyDescent="0.35">
      <c r="A270" s="1104"/>
      <c r="B270" s="1105" t="s">
        <v>836</v>
      </c>
      <c r="C270" s="1105" t="s">
        <v>839</v>
      </c>
      <c r="D270" s="1105">
        <v>18230</v>
      </c>
      <c r="E270" s="1105" t="s">
        <v>1054</v>
      </c>
      <c r="F270" s="1105">
        <v>21</v>
      </c>
      <c r="G270" s="1105">
        <v>3013</v>
      </c>
      <c r="H270" s="1105">
        <v>2992</v>
      </c>
      <c r="I270" s="1106"/>
      <c r="J270" s="1107"/>
    </row>
    <row r="271" spans="1:14" x14ac:dyDescent="0.35">
      <c r="A271" s="1104"/>
      <c r="B271" s="1105" t="s">
        <v>836</v>
      </c>
      <c r="C271" s="1105" t="s">
        <v>839</v>
      </c>
      <c r="D271" s="1105">
        <v>18135</v>
      </c>
      <c r="E271" s="1105" t="s">
        <v>1055</v>
      </c>
      <c r="F271" s="1105">
        <v>0</v>
      </c>
      <c r="G271" s="1105">
        <v>7508</v>
      </c>
      <c r="H271" s="1105">
        <v>7508</v>
      </c>
      <c r="I271" s="1106"/>
      <c r="J271" s="1107"/>
    </row>
    <row r="272" spans="1:14" x14ac:dyDescent="0.35">
      <c r="A272" s="1104"/>
      <c r="B272" s="1105" t="s">
        <v>836</v>
      </c>
      <c r="C272" s="1105" t="s">
        <v>839</v>
      </c>
      <c r="D272" s="1105">
        <v>18170</v>
      </c>
      <c r="E272" s="1105" t="s">
        <v>1056</v>
      </c>
      <c r="F272" s="1105">
        <v>1822</v>
      </c>
      <c r="G272" s="1105">
        <v>5003</v>
      </c>
      <c r="H272" s="1105">
        <v>3181</v>
      </c>
      <c r="I272" s="1106"/>
      <c r="J272" s="1107"/>
    </row>
    <row r="273" spans="1:10" x14ac:dyDescent="0.35">
      <c r="A273" s="1104"/>
      <c r="B273" s="1105" t="s">
        <v>836</v>
      </c>
      <c r="C273" s="1105" t="s">
        <v>837</v>
      </c>
      <c r="D273" s="1105">
        <v>23203</v>
      </c>
      <c r="E273" s="1105" t="s">
        <v>1057</v>
      </c>
      <c r="F273" s="1105">
        <v>17</v>
      </c>
      <c r="G273" s="1105">
        <v>5849</v>
      </c>
      <c r="H273" s="1105">
        <v>5832</v>
      </c>
      <c r="I273" s="1106"/>
      <c r="J273" s="1107"/>
    </row>
    <row r="274" spans="1:10" x14ac:dyDescent="0.35">
      <c r="A274" s="1104"/>
      <c r="B274" s="1105" t="s">
        <v>836</v>
      </c>
      <c r="C274" s="1105" t="s">
        <v>839</v>
      </c>
      <c r="D274" s="1105">
        <v>18127</v>
      </c>
      <c r="E274" s="1105" t="s">
        <v>1050</v>
      </c>
      <c r="F274" s="1105">
        <v>979</v>
      </c>
      <c r="G274" s="1105">
        <v>6218</v>
      </c>
      <c r="H274" s="1105">
        <v>5239</v>
      </c>
      <c r="I274" s="1106"/>
      <c r="J274" s="1107"/>
    </row>
    <row r="275" spans="1:10" x14ac:dyDescent="0.35">
      <c r="A275" s="1104"/>
      <c r="B275" s="1105" t="s">
        <v>836</v>
      </c>
      <c r="C275" s="1105" t="s">
        <v>839</v>
      </c>
      <c r="D275" s="1105">
        <v>18214</v>
      </c>
      <c r="E275" s="1105" t="s">
        <v>1058</v>
      </c>
      <c r="F275" s="1105">
        <v>0</v>
      </c>
      <c r="G275" s="1105">
        <v>2618</v>
      </c>
      <c r="H275" s="1105">
        <v>2618</v>
      </c>
      <c r="I275" s="1106"/>
      <c r="J275" s="1107"/>
    </row>
    <row r="276" spans="1:10" x14ac:dyDescent="0.35">
      <c r="A276" s="1104"/>
      <c r="B276" s="1105" t="s">
        <v>836</v>
      </c>
      <c r="C276" s="1105" t="s">
        <v>839</v>
      </c>
      <c r="D276" s="1105">
        <v>18223</v>
      </c>
      <c r="E276" s="1105" t="s">
        <v>1059</v>
      </c>
      <c r="F276" s="1105">
        <v>0</v>
      </c>
      <c r="G276" s="1105">
        <v>600</v>
      </c>
      <c r="H276" s="1105">
        <v>600</v>
      </c>
      <c r="I276" s="1106"/>
      <c r="J276" s="1107"/>
    </row>
    <row r="277" spans="1:10" x14ac:dyDescent="0.35">
      <c r="A277" s="1104"/>
      <c r="B277" s="1105" t="s">
        <v>836</v>
      </c>
      <c r="C277" s="1105" t="s">
        <v>839</v>
      </c>
      <c r="D277" s="1105">
        <v>18223</v>
      </c>
      <c r="E277" s="1105" t="s">
        <v>1059</v>
      </c>
      <c r="F277" s="1105">
        <v>600</v>
      </c>
      <c r="G277" s="1105">
        <v>1800</v>
      </c>
      <c r="H277" s="1105">
        <v>1200</v>
      </c>
      <c r="I277" s="1106"/>
      <c r="J277" s="1107"/>
    </row>
    <row r="278" spans="1:10" x14ac:dyDescent="0.35">
      <c r="A278" s="1104"/>
      <c r="B278" s="1105" t="s">
        <v>836</v>
      </c>
      <c r="C278" s="1105" t="s">
        <v>839</v>
      </c>
      <c r="D278" s="1105">
        <v>18223</v>
      </c>
      <c r="E278" s="1105" t="s">
        <v>1059</v>
      </c>
      <c r="F278" s="1105">
        <v>1800</v>
      </c>
      <c r="G278" s="1105">
        <v>2322</v>
      </c>
      <c r="H278" s="1105">
        <v>522</v>
      </c>
      <c r="I278" s="1106"/>
      <c r="J278" s="1107"/>
    </row>
    <row r="279" spans="1:10" x14ac:dyDescent="0.35">
      <c r="A279" s="1104"/>
      <c r="B279" s="1105" t="s">
        <v>836</v>
      </c>
      <c r="C279" s="1105" t="s">
        <v>839</v>
      </c>
      <c r="D279" s="1105">
        <v>18177</v>
      </c>
      <c r="E279" s="1105" t="s">
        <v>1060</v>
      </c>
      <c r="F279" s="1105">
        <v>85</v>
      </c>
      <c r="G279" s="1105">
        <v>5450</v>
      </c>
      <c r="H279" s="1105">
        <v>5365</v>
      </c>
      <c r="I279" s="1106"/>
      <c r="J279" s="1107"/>
    </row>
    <row r="280" spans="1:10" x14ac:dyDescent="0.35">
      <c r="A280" s="1104"/>
      <c r="B280" s="1105" t="s">
        <v>836</v>
      </c>
      <c r="C280" s="1105" t="s">
        <v>839</v>
      </c>
      <c r="D280" s="1105">
        <v>18122</v>
      </c>
      <c r="E280" s="1105" t="s">
        <v>1061</v>
      </c>
      <c r="F280" s="1105">
        <v>1545</v>
      </c>
      <c r="G280" s="1105">
        <v>3863</v>
      </c>
      <c r="H280" s="1105">
        <v>2318</v>
      </c>
      <c r="I280" s="1106"/>
      <c r="J280" s="1107"/>
    </row>
    <row r="281" spans="1:10" x14ac:dyDescent="0.35">
      <c r="A281" s="1104"/>
      <c r="B281" s="1105" t="s">
        <v>836</v>
      </c>
      <c r="C281" s="1105" t="s">
        <v>839</v>
      </c>
      <c r="D281" s="1105">
        <v>18129</v>
      </c>
      <c r="E281" s="1105" t="s">
        <v>1062</v>
      </c>
      <c r="F281" s="1105">
        <v>0</v>
      </c>
      <c r="G281" s="1105">
        <v>2925</v>
      </c>
      <c r="H281" s="1105">
        <v>2925</v>
      </c>
      <c r="I281" s="1106"/>
      <c r="J281" s="1107"/>
    </row>
    <row r="282" spans="1:10" x14ac:dyDescent="0.35">
      <c r="A282" s="1104"/>
      <c r="B282" s="1105" t="s">
        <v>836</v>
      </c>
      <c r="C282" s="1105" t="s">
        <v>839</v>
      </c>
      <c r="D282" s="1105">
        <v>18284</v>
      </c>
      <c r="E282" s="1105" t="s">
        <v>1063</v>
      </c>
      <c r="F282" s="1105">
        <v>45</v>
      </c>
      <c r="G282" s="1105">
        <v>4198</v>
      </c>
      <c r="H282" s="1105">
        <v>4153</v>
      </c>
      <c r="I282" s="1106"/>
      <c r="J282" s="1107"/>
    </row>
    <row r="283" spans="1:10" x14ac:dyDescent="0.35">
      <c r="A283" s="1104"/>
      <c r="B283" s="1105" t="s">
        <v>836</v>
      </c>
      <c r="C283" s="1105" t="s">
        <v>839</v>
      </c>
      <c r="D283" s="1105">
        <v>22285</v>
      </c>
      <c r="E283" s="1105" t="s">
        <v>1064</v>
      </c>
      <c r="F283" s="1105">
        <v>2443</v>
      </c>
      <c r="G283" s="1105">
        <v>3800</v>
      </c>
      <c r="H283" s="1105">
        <v>1357</v>
      </c>
      <c r="I283" s="1106"/>
      <c r="J283" s="1107"/>
    </row>
    <row r="284" spans="1:10" x14ac:dyDescent="0.35">
      <c r="A284" s="1104"/>
      <c r="B284" s="1105" t="s">
        <v>836</v>
      </c>
      <c r="C284" s="1105" t="s">
        <v>839</v>
      </c>
      <c r="D284" s="1105">
        <v>22285</v>
      </c>
      <c r="E284" s="1105" t="s">
        <v>1064</v>
      </c>
      <c r="F284" s="1105">
        <v>3800</v>
      </c>
      <c r="G284" s="1105">
        <v>7057</v>
      </c>
      <c r="H284" s="1105">
        <v>3257</v>
      </c>
      <c r="I284" s="1106"/>
      <c r="J284" s="1107"/>
    </row>
    <row r="285" spans="1:10" x14ac:dyDescent="0.35">
      <c r="A285" s="1104"/>
      <c r="B285" s="1105" t="s">
        <v>836</v>
      </c>
      <c r="C285" s="1105" t="s">
        <v>837</v>
      </c>
      <c r="D285" s="1105">
        <v>23155</v>
      </c>
      <c r="E285" s="1105" t="s">
        <v>1065</v>
      </c>
      <c r="F285" s="1105">
        <v>3544</v>
      </c>
      <c r="G285" s="1105">
        <v>5518</v>
      </c>
      <c r="H285" s="1105">
        <v>1974</v>
      </c>
      <c r="I285" s="1106"/>
      <c r="J285" s="1107"/>
    </row>
    <row r="286" spans="1:10" x14ac:dyDescent="0.35">
      <c r="A286" s="1104"/>
      <c r="B286" s="1105" t="s">
        <v>836</v>
      </c>
      <c r="C286" s="1105" t="s">
        <v>837</v>
      </c>
      <c r="D286" s="1105">
        <v>23155</v>
      </c>
      <c r="E286" s="1105" t="s">
        <v>1065</v>
      </c>
      <c r="F286" s="1105">
        <v>5760</v>
      </c>
      <c r="G286" s="1105">
        <v>6295</v>
      </c>
      <c r="H286" s="1105">
        <v>535</v>
      </c>
      <c r="I286" s="1106"/>
      <c r="J286" s="1107"/>
    </row>
    <row r="287" spans="1:10" x14ac:dyDescent="0.35">
      <c r="A287" s="1104"/>
      <c r="B287" s="1105" t="s">
        <v>836</v>
      </c>
      <c r="C287" s="1105" t="s">
        <v>839</v>
      </c>
      <c r="D287" s="1105">
        <v>18171</v>
      </c>
      <c r="E287" s="1105" t="s">
        <v>1066</v>
      </c>
      <c r="F287" s="1105">
        <v>50</v>
      </c>
      <c r="G287" s="1105">
        <v>2157</v>
      </c>
      <c r="H287" s="1105">
        <v>2107</v>
      </c>
      <c r="I287" s="1106"/>
      <c r="J287" s="1107"/>
    </row>
    <row r="288" spans="1:10" x14ac:dyDescent="0.35">
      <c r="A288" s="1104"/>
      <c r="B288" s="1105" t="s">
        <v>836</v>
      </c>
      <c r="C288" s="1105" t="s">
        <v>837</v>
      </c>
      <c r="D288" s="1105">
        <v>23199</v>
      </c>
      <c r="E288" s="1105" t="s">
        <v>1067</v>
      </c>
      <c r="F288" s="1105">
        <v>6000</v>
      </c>
      <c r="G288" s="1105">
        <v>7869</v>
      </c>
      <c r="H288" s="1105">
        <v>1869</v>
      </c>
      <c r="I288" s="1106"/>
      <c r="J288" s="1107"/>
    </row>
    <row r="289" spans="1:10" x14ac:dyDescent="0.35">
      <c r="A289" s="1104"/>
      <c r="B289" s="1105" t="s">
        <v>836</v>
      </c>
      <c r="C289" s="1105" t="s">
        <v>837</v>
      </c>
      <c r="D289" s="1105">
        <v>23209</v>
      </c>
      <c r="E289" s="1105" t="s">
        <v>1068</v>
      </c>
      <c r="F289" s="1105">
        <v>9805</v>
      </c>
      <c r="G289" s="1105">
        <v>12587</v>
      </c>
      <c r="H289" s="1105">
        <v>2782</v>
      </c>
      <c r="I289" s="1106"/>
      <c r="J289" s="1107"/>
    </row>
    <row r="290" spans="1:10" x14ac:dyDescent="0.35">
      <c r="A290" s="1104"/>
      <c r="B290" s="1105" t="s">
        <v>842</v>
      </c>
      <c r="C290" s="1105" t="s">
        <v>887</v>
      </c>
      <c r="D290" s="1105">
        <v>24164</v>
      </c>
      <c r="E290" s="1105" t="s">
        <v>1069</v>
      </c>
      <c r="F290" s="1105">
        <v>1808</v>
      </c>
      <c r="G290" s="1105">
        <v>3267</v>
      </c>
      <c r="H290" s="1105">
        <v>1459</v>
      </c>
      <c r="I290" s="1106"/>
      <c r="J290" s="1107"/>
    </row>
    <row r="291" spans="1:10" x14ac:dyDescent="0.35">
      <c r="A291" s="1104"/>
      <c r="B291" s="1105" t="s">
        <v>836</v>
      </c>
      <c r="C291" s="1105" t="s">
        <v>837</v>
      </c>
      <c r="D291" s="1105">
        <v>23200</v>
      </c>
      <c r="E291" s="1105" t="s">
        <v>1070</v>
      </c>
      <c r="F291" s="1105">
        <v>269</v>
      </c>
      <c r="G291" s="1105">
        <v>3292</v>
      </c>
      <c r="H291" s="1105">
        <v>3023</v>
      </c>
      <c r="I291" s="1106"/>
      <c r="J291" s="1107"/>
    </row>
    <row r="292" spans="1:10" x14ac:dyDescent="0.35">
      <c r="A292" s="1104"/>
      <c r="B292" s="1105" t="s">
        <v>836</v>
      </c>
      <c r="C292" s="1105" t="s">
        <v>868</v>
      </c>
      <c r="D292" s="1105">
        <v>22229</v>
      </c>
      <c r="E292" s="1105" t="s">
        <v>1071</v>
      </c>
      <c r="F292" s="1105">
        <v>0</v>
      </c>
      <c r="G292" s="1105">
        <v>3300</v>
      </c>
      <c r="H292" s="1105">
        <v>3300</v>
      </c>
      <c r="I292" s="1106"/>
      <c r="J292" s="1107"/>
    </row>
    <row r="293" spans="1:10" x14ac:dyDescent="0.35">
      <c r="A293" s="1104"/>
      <c r="B293" s="1105" t="s">
        <v>836</v>
      </c>
      <c r="C293" s="1105" t="s">
        <v>837</v>
      </c>
      <c r="D293" s="1105">
        <v>23189</v>
      </c>
      <c r="E293" s="1105" t="s">
        <v>1072</v>
      </c>
      <c r="F293" s="1105">
        <v>16657</v>
      </c>
      <c r="G293" s="1105">
        <v>18138</v>
      </c>
      <c r="H293" s="1105">
        <v>1481</v>
      </c>
      <c r="I293" s="1106"/>
      <c r="J293" s="1107"/>
    </row>
    <row r="294" spans="1:10" x14ac:dyDescent="0.35">
      <c r="A294" s="1104"/>
      <c r="B294" s="1105" t="s">
        <v>842</v>
      </c>
      <c r="C294" s="1105" t="s">
        <v>848</v>
      </c>
      <c r="D294" s="1105">
        <v>19131</v>
      </c>
      <c r="E294" s="1105" t="s">
        <v>1073</v>
      </c>
      <c r="F294" s="1105">
        <v>0</v>
      </c>
      <c r="G294" s="1105">
        <v>11091</v>
      </c>
      <c r="H294" s="1105">
        <v>11091</v>
      </c>
      <c r="I294" s="1106"/>
      <c r="J294" s="1107"/>
    </row>
    <row r="295" spans="1:10" x14ac:dyDescent="0.35">
      <c r="A295" s="1104"/>
      <c r="B295" s="1105" t="s">
        <v>836</v>
      </c>
      <c r="C295" s="1105" t="s">
        <v>837</v>
      </c>
      <c r="D295" s="1105">
        <v>23190</v>
      </c>
      <c r="E295" s="1105" t="s">
        <v>1074</v>
      </c>
      <c r="F295" s="1105">
        <v>10048</v>
      </c>
      <c r="G295" s="1105">
        <v>13035</v>
      </c>
      <c r="H295" s="1105">
        <v>2987</v>
      </c>
      <c r="I295" s="1106"/>
      <c r="J295" s="1107"/>
    </row>
    <row r="296" spans="1:10" x14ac:dyDescent="0.35">
      <c r="A296" s="1104"/>
      <c r="B296" s="1105" t="s">
        <v>836</v>
      </c>
      <c r="C296" s="1105" t="s">
        <v>868</v>
      </c>
      <c r="D296" s="1105">
        <v>22264</v>
      </c>
      <c r="E296" s="1105" t="s">
        <v>1075</v>
      </c>
      <c r="F296" s="1105">
        <v>16</v>
      </c>
      <c r="G296" s="1105">
        <v>788</v>
      </c>
      <c r="H296" s="1105">
        <v>772</v>
      </c>
      <c r="I296" s="1106"/>
      <c r="J296" s="1107"/>
    </row>
    <row r="297" spans="1:10" x14ac:dyDescent="0.35">
      <c r="A297" s="1104"/>
      <c r="B297" s="1105" t="s">
        <v>836</v>
      </c>
      <c r="C297" s="1105" t="s">
        <v>851</v>
      </c>
      <c r="D297" s="1105">
        <v>25128</v>
      </c>
      <c r="E297" s="1105" t="s">
        <v>1076</v>
      </c>
      <c r="F297" s="1105">
        <v>55</v>
      </c>
      <c r="G297" s="1105">
        <v>3765</v>
      </c>
      <c r="H297" s="1105">
        <v>3710</v>
      </c>
      <c r="I297" s="1106"/>
      <c r="J297" s="1107"/>
    </row>
    <row r="298" spans="1:10" x14ac:dyDescent="0.35">
      <c r="A298" s="1104"/>
      <c r="B298" s="1105" t="s">
        <v>836</v>
      </c>
      <c r="C298" s="1105" t="s">
        <v>851</v>
      </c>
      <c r="D298" s="1105">
        <v>25128</v>
      </c>
      <c r="E298" s="1105" t="s">
        <v>1076</v>
      </c>
      <c r="F298" s="1105">
        <v>4490</v>
      </c>
      <c r="G298" s="1105">
        <v>4910</v>
      </c>
      <c r="H298" s="1105">
        <v>420</v>
      </c>
      <c r="I298" s="1106"/>
      <c r="J298" s="1107"/>
    </row>
    <row r="299" spans="1:10" x14ac:dyDescent="0.35">
      <c r="A299" s="1104"/>
      <c r="B299" s="1105" t="s">
        <v>836</v>
      </c>
      <c r="C299" s="1105" t="s">
        <v>837</v>
      </c>
      <c r="D299" s="1105">
        <v>23199</v>
      </c>
      <c r="E299" s="1105" t="s">
        <v>1067</v>
      </c>
      <c r="F299" s="1105">
        <v>55</v>
      </c>
      <c r="G299" s="1105">
        <v>3869</v>
      </c>
      <c r="H299" s="1105">
        <v>3814</v>
      </c>
      <c r="I299" s="1106"/>
      <c r="J299" s="1107"/>
    </row>
    <row r="300" spans="1:10" x14ac:dyDescent="0.35">
      <c r="A300" s="1104"/>
      <c r="B300" s="1105" t="s">
        <v>836</v>
      </c>
      <c r="C300" s="1105" t="s">
        <v>837</v>
      </c>
      <c r="D300" s="1105">
        <v>23199</v>
      </c>
      <c r="E300" s="1105" t="s">
        <v>1067</v>
      </c>
      <c r="F300" s="1105">
        <v>3869</v>
      </c>
      <c r="G300" s="1105">
        <v>6000</v>
      </c>
      <c r="H300" s="1105">
        <v>2131</v>
      </c>
      <c r="I300" s="1106"/>
      <c r="J300" s="1107"/>
    </row>
    <row r="301" spans="1:10" x14ac:dyDescent="0.35">
      <c r="A301" s="1104"/>
      <c r="B301" s="1105" t="s">
        <v>836</v>
      </c>
      <c r="C301" s="1105" t="s">
        <v>868</v>
      </c>
      <c r="D301" s="1105">
        <v>22287</v>
      </c>
      <c r="E301" s="1105" t="s">
        <v>1077</v>
      </c>
      <c r="F301" s="1105">
        <v>0</v>
      </c>
      <c r="G301" s="1105">
        <v>2975</v>
      </c>
      <c r="H301" s="1105">
        <v>2975</v>
      </c>
      <c r="I301" s="1106"/>
      <c r="J301" s="1107"/>
    </row>
    <row r="302" spans="1:10" x14ac:dyDescent="0.35">
      <c r="A302" s="1104"/>
      <c r="B302" s="1105" t="s">
        <v>836</v>
      </c>
      <c r="C302" s="1105" t="s">
        <v>868</v>
      </c>
      <c r="D302" s="1105">
        <v>22153</v>
      </c>
      <c r="E302" s="1105" t="s">
        <v>1078</v>
      </c>
      <c r="F302" s="1105">
        <v>532</v>
      </c>
      <c r="G302" s="1105">
        <v>5427</v>
      </c>
      <c r="H302" s="1105">
        <v>4895</v>
      </c>
      <c r="I302" s="1106"/>
      <c r="J302" s="1107"/>
    </row>
    <row r="303" spans="1:10" x14ac:dyDescent="0.35">
      <c r="A303" s="1104"/>
      <c r="B303" s="1105" t="s">
        <v>842</v>
      </c>
      <c r="C303" s="1105" t="s">
        <v>848</v>
      </c>
      <c r="D303" s="1105">
        <v>24151</v>
      </c>
      <c r="E303" s="1105" t="s">
        <v>1079</v>
      </c>
      <c r="F303" s="1105">
        <v>24422</v>
      </c>
      <c r="G303" s="1105">
        <v>27379</v>
      </c>
      <c r="H303" s="1105">
        <v>2957</v>
      </c>
      <c r="I303" s="1106"/>
      <c r="J303" s="1107"/>
    </row>
    <row r="304" spans="1:10" x14ac:dyDescent="0.35">
      <c r="A304" s="1104"/>
      <c r="B304" s="1105" t="s">
        <v>842</v>
      </c>
      <c r="C304" s="1105" t="s">
        <v>845</v>
      </c>
      <c r="D304" s="1105">
        <v>16186</v>
      </c>
      <c r="E304" s="1105" t="s">
        <v>1080</v>
      </c>
      <c r="F304" s="1105">
        <v>1495</v>
      </c>
      <c r="G304" s="1105">
        <v>1500</v>
      </c>
      <c r="H304" s="1105">
        <v>5</v>
      </c>
      <c r="I304" s="1106"/>
      <c r="J304" s="1107"/>
    </row>
    <row r="305" spans="1:10" x14ac:dyDescent="0.35">
      <c r="A305" s="1104"/>
      <c r="B305" s="1105" t="s">
        <v>836</v>
      </c>
      <c r="C305" s="1105" t="s">
        <v>851</v>
      </c>
      <c r="D305" s="1105">
        <v>25111</v>
      </c>
      <c r="E305" s="1105" t="s">
        <v>1081</v>
      </c>
      <c r="F305" s="1105">
        <v>43</v>
      </c>
      <c r="G305" s="1105">
        <v>9841</v>
      </c>
      <c r="H305" s="1105">
        <v>9798</v>
      </c>
      <c r="I305" s="1106"/>
      <c r="J305" s="1107"/>
    </row>
    <row r="306" spans="1:10" x14ac:dyDescent="0.35">
      <c r="A306" s="1104"/>
      <c r="B306" s="1105" t="s">
        <v>836</v>
      </c>
      <c r="C306" s="1105" t="s">
        <v>896</v>
      </c>
      <c r="D306" s="1105">
        <v>14156</v>
      </c>
      <c r="E306" s="1105" t="s">
        <v>1082</v>
      </c>
      <c r="F306" s="1105">
        <v>540</v>
      </c>
      <c r="G306" s="1105">
        <v>1789</v>
      </c>
      <c r="H306" s="1105">
        <v>1249</v>
      </c>
      <c r="I306" s="1106"/>
      <c r="J306" s="1107"/>
    </row>
    <row r="307" spans="1:10" x14ac:dyDescent="0.35">
      <c r="A307" s="1104"/>
      <c r="B307" s="1105" t="s">
        <v>842</v>
      </c>
      <c r="C307" s="1105" t="s">
        <v>845</v>
      </c>
      <c r="D307" s="1105">
        <v>16113</v>
      </c>
      <c r="E307" s="1105" t="s">
        <v>1083</v>
      </c>
      <c r="F307" s="1105">
        <v>7893</v>
      </c>
      <c r="G307" s="1105">
        <v>12364</v>
      </c>
      <c r="H307" s="1105">
        <v>4471</v>
      </c>
      <c r="I307" s="1106"/>
      <c r="J307" s="1107"/>
    </row>
    <row r="308" spans="1:10" x14ac:dyDescent="0.35">
      <c r="A308" s="1104"/>
      <c r="B308" s="1105" t="s">
        <v>842</v>
      </c>
      <c r="C308" s="1105" t="s">
        <v>887</v>
      </c>
      <c r="D308" s="1105">
        <v>24167</v>
      </c>
      <c r="E308" s="1105" t="s">
        <v>1084</v>
      </c>
      <c r="F308" s="1105">
        <v>9911</v>
      </c>
      <c r="G308" s="1105">
        <v>14374</v>
      </c>
      <c r="H308" s="1105">
        <v>4463</v>
      </c>
      <c r="I308" s="1106"/>
      <c r="J308" s="1107"/>
    </row>
    <row r="309" spans="1:10" x14ac:dyDescent="0.35">
      <c r="A309" s="1104"/>
      <c r="B309" s="1105" t="s">
        <v>842</v>
      </c>
      <c r="C309" s="1105" t="s">
        <v>860</v>
      </c>
      <c r="D309" s="1105">
        <v>12149</v>
      </c>
      <c r="E309" s="1105" t="s">
        <v>1085</v>
      </c>
      <c r="F309" s="1105">
        <v>500</v>
      </c>
      <c r="G309" s="1105">
        <v>1390</v>
      </c>
      <c r="H309" s="1105">
        <v>890</v>
      </c>
      <c r="I309" s="1106"/>
      <c r="J309" s="1107"/>
    </row>
    <row r="310" spans="1:10" x14ac:dyDescent="0.35">
      <c r="A310" s="1104"/>
      <c r="B310" s="1105" t="s">
        <v>842</v>
      </c>
      <c r="C310" s="1105" t="s">
        <v>860</v>
      </c>
      <c r="D310" s="1105">
        <v>12115</v>
      </c>
      <c r="E310" s="1105" t="s">
        <v>1086</v>
      </c>
      <c r="F310" s="1105">
        <v>8605</v>
      </c>
      <c r="G310" s="1105">
        <v>10460</v>
      </c>
      <c r="H310" s="1105">
        <v>1855</v>
      </c>
      <c r="I310" s="1106"/>
      <c r="J310" s="1107"/>
    </row>
    <row r="311" spans="1:10" x14ac:dyDescent="0.35">
      <c r="A311" s="1104"/>
      <c r="B311" s="1105" t="s">
        <v>842</v>
      </c>
      <c r="C311" s="1105" t="s">
        <v>845</v>
      </c>
      <c r="D311" s="1105">
        <v>16134</v>
      </c>
      <c r="E311" s="1105" t="s">
        <v>1087</v>
      </c>
      <c r="F311" s="1105">
        <v>2600</v>
      </c>
      <c r="G311" s="1105">
        <v>9438</v>
      </c>
      <c r="H311" s="1105">
        <v>6838</v>
      </c>
      <c r="I311" s="1106"/>
      <c r="J311" s="1107"/>
    </row>
    <row r="312" spans="1:10" x14ac:dyDescent="0.35">
      <c r="A312" s="1104"/>
      <c r="B312" s="1105" t="s">
        <v>842</v>
      </c>
      <c r="C312" s="1105" t="s">
        <v>860</v>
      </c>
      <c r="D312" s="1105">
        <v>12137</v>
      </c>
      <c r="E312" s="1105" t="s">
        <v>1088</v>
      </c>
      <c r="F312" s="1105">
        <v>850</v>
      </c>
      <c r="G312" s="1105">
        <v>4500</v>
      </c>
      <c r="H312" s="1105">
        <v>3650</v>
      </c>
      <c r="I312" s="1106"/>
      <c r="J312" s="1107"/>
    </row>
    <row r="313" spans="1:10" x14ac:dyDescent="0.35">
      <c r="A313" s="1104"/>
      <c r="B313" s="1105" t="s">
        <v>842</v>
      </c>
      <c r="C313" s="1105" t="s">
        <v>860</v>
      </c>
      <c r="D313" s="1105">
        <v>12162</v>
      </c>
      <c r="E313" s="1105" t="s">
        <v>1089</v>
      </c>
      <c r="F313" s="1105">
        <v>15</v>
      </c>
      <c r="G313" s="1105">
        <v>3200</v>
      </c>
      <c r="H313" s="1105">
        <v>3185</v>
      </c>
      <c r="I313" s="1106"/>
      <c r="J313" s="1107"/>
    </row>
    <row r="314" spans="1:10" x14ac:dyDescent="0.35">
      <c r="A314" s="1104"/>
      <c r="B314" s="1105" t="s">
        <v>836</v>
      </c>
      <c r="C314" s="1105" t="s">
        <v>868</v>
      </c>
      <c r="D314" s="1105">
        <v>22239</v>
      </c>
      <c r="E314" s="1105" t="s">
        <v>1090</v>
      </c>
      <c r="F314" s="1105">
        <v>20</v>
      </c>
      <c r="G314" s="1105">
        <v>5163</v>
      </c>
      <c r="H314" s="1105">
        <v>5143</v>
      </c>
      <c r="I314" s="1106"/>
      <c r="J314" s="1107"/>
    </row>
    <row r="315" spans="1:10" x14ac:dyDescent="0.35">
      <c r="A315" s="1104"/>
      <c r="B315" s="1105" t="s">
        <v>836</v>
      </c>
      <c r="C315" s="1105" t="s">
        <v>839</v>
      </c>
      <c r="D315" s="1105">
        <v>18197</v>
      </c>
      <c r="E315" s="1105" t="s">
        <v>1091</v>
      </c>
      <c r="F315" s="1105">
        <v>825</v>
      </c>
      <c r="G315" s="1105">
        <v>7461</v>
      </c>
      <c r="H315" s="1105">
        <v>6636</v>
      </c>
      <c r="I315" s="1106"/>
      <c r="J315" s="1107"/>
    </row>
    <row r="316" spans="1:10" x14ac:dyDescent="0.35">
      <c r="A316" s="1104"/>
      <c r="B316" s="1105" t="s">
        <v>836</v>
      </c>
      <c r="C316" s="1105" t="s">
        <v>837</v>
      </c>
      <c r="D316" s="1105">
        <v>23133</v>
      </c>
      <c r="E316" s="1105" t="s">
        <v>1092</v>
      </c>
      <c r="F316" s="1105">
        <v>0</v>
      </c>
      <c r="G316" s="1105">
        <v>1001</v>
      </c>
      <c r="H316" s="1105">
        <v>1001</v>
      </c>
      <c r="I316" s="1106"/>
      <c r="J316" s="1107"/>
    </row>
    <row r="317" spans="1:10" x14ac:dyDescent="0.35">
      <c r="A317" s="1104"/>
      <c r="B317" s="1105" t="s">
        <v>836</v>
      </c>
      <c r="C317" s="1105" t="s">
        <v>868</v>
      </c>
      <c r="D317" s="1105">
        <v>22167</v>
      </c>
      <c r="E317" s="1105" t="s">
        <v>1093</v>
      </c>
      <c r="F317" s="1105">
        <v>732</v>
      </c>
      <c r="G317" s="1105">
        <v>3584</v>
      </c>
      <c r="H317" s="1105">
        <v>2852</v>
      </c>
      <c r="I317" s="1106"/>
      <c r="J317" s="1107"/>
    </row>
    <row r="318" spans="1:10" x14ac:dyDescent="0.35">
      <c r="A318" s="1104"/>
      <c r="B318" s="1105" t="s">
        <v>836</v>
      </c>
      <c r="C318" s="1105" t="s">
        <v>868</v>
      </c>
      <c r="D318" s="1105">
        <v>22254</v>
      </c>
      <c r="E318" s="1105" t="s">
        <v>1094</v>
      </c>
      <c r="F318" s="1105">
        <v>69</v>
      </c>
      <c r="G318" s="1105">
        <v>2466</v>
      </c>
      <c r="H318" s="1105">
        <v>2397</v>
      </c>
      <c r="I318" s="1106"/>
      <c r="J318" s="1107"/>
    </row>
    <row r="319" spans="1:10" x14ac:dyDescent="0.35">
      <c r="A319" s="1104"/>
      <c r="B319" s="1105" t="s">
        <v>842</v>
      </c>
      <c r="C319" s="1105" t="s">
        <v>845</v>
      </c>
      <c r="D319" s="1105">
        <v>16186</v>
      </c>
      <c r="E319" s="1105" t="s">
        <v>1080</v>
      </c>
      <c r="F319" s="1105">
        <v>1500</v>
      </c>
      <c r="G319" s="1105">
        <v>3304</v>
      </c>
      <c r="H319" s="1105">
        <v>1804</v>
      </c>
      <c r="I319" s="1106"/>
      <c r="J319" s="1107"/>
    </row>
    <row r="320" spans="1:10" x14ac:dyDescent="0.35">
      <c r="A320" s="1104"/>
      <c r="B320" s="1105" t="s">
        <v>836</v>
      </c>
      <c r="C320" s="1105" t="s">
        <v>851</v>
      </c>
      <c r="D320" s="1105">
        <v>25210</v>
      </c>
      <c r="E320" s="1105" t="s">
        <v>1095</v>
      </c>
      <c r="F320" s="1105">
        <v>0</v>
      </c>
      <c r="G320" s="1105">
        <v>4235</v>
      </c>
      <c r="H320" s="1105">
        <v>4235</v>
      </c>
      <c r="I320" s="1106"/>
      <c r="J320" s="1107"/>
    </row>
    <row r="321" spans="1:10" x14ac:dyDescent="0.35">
      <c r="A321" s="1104"/>
      <c r="B321" s="1105" t="s">
        <v>836</v>
      </c>
      <c r="C321" s="1105" t="s">
        <v>896</v>
      </c>
      <c r="D321" s="1105">
        <v>14207</v>
      </c>
      <c r="E321" s="1105" t="s">
        <v>1096</v>
      </c>
      <c r="F321" s="1105">
        <v>0</v>
      </c>
      <c r="G321" s="1105">
        <v>3896</v>
      </c>
      <c r="H321" s="1105">
        <v>3896</v>
      </c>
      <c r="I321" s="1106"/>
      <c r="J321" s="1107"/>
    </row>
    <row r="322" spans="1:10" x14ac:dyDescent="0.35">
      <c r="A322" s="1104"/>
      <c r="B322" s="1105" t="s">
        <v>850</v>
      </c>
      <c r="C322" s="1105" t="s">
        <v>893</v>
      </c>
      <c r="D322" s="1105">
        <v>13182</v>
      </c>
      <c r="E322" s="1105" t="s">
        <v>1097</v>
      </c>
      <c r="F322" s="1105">
        <v>12516</v>
      </c>
      <c r="G322" s="1105">
        <v>14167</v>
      </c>
      <c r="H322" s="1105">
        <v>1651</v>
      </c>
      <c r="I322" s="1106"/>
      <c r="J322" s="1107"/>
    </row>
    <row r="323" spans="1:10" x14ac:dyDescent="0.35">
      <c r="A323" s="1104"/>
      <c r="B323" s="1105" t="s">
        <v>836</v>
      </c>
      <c r="C323" s="1105" t="s">
        <v>896</v>
      </c>
      <c r="D323" s="1105">
        <v>14144</v>
      </c>
      <c r="E323" s="1105" t="s">
        <v>1098</v>
      </c>
      <c r="F323" s="1105">
        <v>0</v>
      </c>
      <c r="G323" s="1105">
        <v>5262</v>
      </c>
      <c r="H323" s="1105">
        <v>5262</v>
      </c>
      <c r="I323" s="1106"/>
      <c r="J323" s="1107"/>
    </row>
    <row r="324" spans="1:10" x14ac:dyDescent="0.35">
      <c r="A324" s="1104"/>
      <c r="B324" s="1105" t="s">
        <v>842</v>
      </c>
      <c r="C324" s="1105" t="s">
        <v>887</v>
      </c>
      <c r="D324" s="1105">
        <v>24164</v>
      </c>
      <c r="E324" s="1105" t="s">
        <v>1069</v>
      </c>
      <c r="F324" s="1105">
        <v>3267</v>
      </c>
      <c r="G324" s="1105">
        <v>5930</v>
      </c>
      <c r="H324" s="1105">
        <v>2663</v>
      </c>
      <c r="I324" s="1106"/>
      <c r="J324" s="1107"/>
    </row>
    <row r="325" spans="1:10" x14ac:dyDescent="0.35">
      <c r="A325" s="1104"/>
      <c r="B325" s="1105" t="s">
        <v>836</v>
      </c>
      <c r="C325" s="1105" t="s">
        <v>896</v>
      </c>
      <c r="D325" s="1105">
        <v>14126</v>
      </c>
      <c r="E325" s="1105" t="s">
        <v>1099</v>
      </c>
      <c r="F325" s="1105">
        <v>306</v>
      </c>
      <c r="G325" s="1105">
        <v>7032</v>
      </c>
      <c r="H325" s="1105">
        <v>6726</v>
      </c>
      <c r="I325" s="1106"/>
      <c r="J325" s="1107"/>
    </row>
    <row r="326" spans="1:10" x14ac:dyDescent="0.35">
      <c r="A326" s="1104"/>
      <c r="B326" s="1105" t="s">
        <v>836</v>
      </c>
      <c r="C326" s="1105" t="s">
        <v>868</v>
      </c>
      <c r="D326" s="1105">
        <v>22187</v>
      </c>
      <c r="E326" s="1105" t="s">
        <v>1100</v>
      </c>
      <c r="F326" s="1105">
        <v>0</v>
      </c>
      <c r="G326" s="1105">
        <v>1307</v>
      </c>
      <c r="H326" s="1105">
        <v>1307</v>
      </c>
      <c r="I326" s="1106"/>
      <c r="J326" s="1107"/>
    </row>
    <row r="327" spans="1:10" x14ac:dyDescent="0.35">
      <c r="A327" s="1104"/>
      <c r="B327" s="1105" t="s">
        <v>836</v>
      </c>
      <c r="C327" s="1105" t="s">
        <v>868</v>
      </c>
      <c r="D327" s="1105">
        <v>22229</v>
      </c>
      <c r="E327" s="1105" t="s">
        <v>1071</v>
      </c>
      <c r="F327" s="1105">
        <v>3300</v>
      </c>
      <c r="G327" s="1105">
        <v>3407</v>
      </c>
      <c r="H327" s="1105">
        <v>107</v>
      </c>
      <c r="I327" s="1106"/>
      <c r="J327" s="1107"/>
    </row>
    <row r="328" spans="1:10" x14ac:dyDescent="0.35">
      <c r="A328" s="1104"/>
      <c r="B328" s="1105" t="s">
        <v>836</v>
      </c>
      <c r="C328" s="1105" t="s">
        <v>851</v>
      </c>
      <c r="D328" s="1105">
        <v>25224</v>
      </c>
      <c r="E328" s="1105" t="s">
        <v>1101</v>
      </c>
      <c r="F328" s="1105">
        <v>0</v>
      </c>
      <c r="G328" s="1105">
        <v>1958</v>
      </c>
      <c r="H328" s="1105">
        <v>1958</v>
      </c>
      <c r="I328" s="1106"/>
      <c r="J328" s="1107"/>
    </row>
    <row r="329" spans="1:10" x14ac:dyDescent="0.35">
      <c r="A329" s="1104"/>
      <c r="B329" s="1105" t="s">
        <v>850</v>
      </c>
      <c r="C329" s="1105" t="s">
        <v>902</v>
      </c>
      <c r="D329" s="1105">
        <v>15192</v>
      </c>
      <c r="E329" s="1105" t="s">
        <v>1102</v>
      </c>
      <c r="F329" s="1105">
        <v>0</v>
      </c>
      <c r="G329" s="1105">
        <v>3679</v>
      </c>
      <c r="H329" s="1105">
        <v>3679</v>
      </c>
      <c r="I329" s="1106"/>
      <c r="J329" s="1107"/>
    </row>
    <row r="330" spans="1:10" x14ac:dyDescent="0.35">
      <c r="A330" s="1104"/>
      <c r="B330" s="1105" t="s">
        <v>854</v>
      </c>
      <c r="C330" s="1105" t="s">
        <v>864</v>
      </c>
      <c r="D330" s="1105">
        <v>20177</v>
      </c>
      <c r="E330" s="1105" t="s">
        <v>1103</v>
      </c>
      <c r="F330" s="1105">
        <v>4000</v>
      </c>
      <c r="G330" s="1105">
        <v>4225</v>
      </c>
      <c r="H330" s="1105">
        <v>225</v>
      </c>
      <c r="I330" s="1106"/>
      <c r="J330" s="1107"/>
    </row>
    <row r="331" spans="1:10" x14ac:dyDescent="0.35">
      <c r="A331" s="1104"/>
      <c r="B331" s="1105" t="s">
        <v>854</v>
      </c>
      <c r="C331" s="1105" t="s">
        <v>864</v>
      </c>
      <c r="D331" s="1105">
        <v>20158</v>
      </c>
      <c r="E331" s="1105" t="s">
        <v>1104</v>
      </c>
      <c r="F331" s="1105">
        <v>3750</v>
      </c>
      <c r="G331" s="1105">
        <v>8677</v>
      </c>
      <c r="H331" s="1105">
        <v>4927</v>
      </c>
      <c r="I331" s="1106"/>
      <c r="J331" s="1107"/>
    </row>
    <row r="332" spans="1:10" x14ac:dyDescent="0.35">
      <c r="A332" s="1104"/>
      <c r="B332" s="1105" t="s">
        <v>836</v>
      </c>
      <c r="C332" s="1105" t="s">
        <v>837</v>
      </c>
      <c r="D332" s="1105">
        <v>23155</v>
      </c>
      <c r="E332" s="1105" t="s">
        <v>1065</v>
      </c>
      <c r="F332" s="1105">
        <v>0</v>
      </c>
      <c r="G332" s="1105">
        <v>3489</v>
      </c>
      <c r="H332" s="1105">
        <v>3489</v>
      </c>
      <c r="I332" s="1106"/>
      <c r="J332" s="1107"/>
    </row>
    <row r="333" spans="1:10" x14ac:dyDescent="0.35">
      <c r="A333" s="1104"/>
      <c r="B333" s="1105" t="s">
        <v>854</v>
      </c>
      <c r="C333" s="1105" t="s">
        <v>864</v>
      </c>
      <c r="D333" s="1105">
        <v>20175</v>
      </c>
      <c r="E333" s="1105" t="s">
        <v>1105</v>
      </c>
      <c r="F333" s="1105">
        <v>11819</v>
      </c>
      <c r="G333" s="1105">
        <v>12799</v>
      </c>
      <c r="H333" s="1105">
        <v>980</v>
      </c>
      <c r="I333" s="1106"/>
      <c r="J333" s="1107"/>
    </row>
    <row r="334" spans="1:10" x14ac:dyDescent="0.35">
      <c r="A334" s="1104"/>
      <c r="B334" s="1105" t="s">
        <v>836</v>
      </c>
      <c r="C334" s="1105" t="s">
        <v>868</v>
      </c>
      <c r="D334" s="1105">
        <v>18284</v>
      </c>
      <c r="E334" s="1105" t="s">
        <v>1063</v>
      </c>
      <c r="F334" s="1105">
        <v>4198</v>
      </c>
      <c r="G334" s="1105">
        <v>6998</v>
      </c>
      <c r="H334" s="1105">
        <v>2800</v>
      </c>
      <c r="I334" s="1106"/>
      <c r="J334" s="1107"/>
    </row>
    <row r="335" spans="1:10" x14ac:dyDescent="0.35">
      <c r="A335" s="1104"/>
      <c r="B335" s="1105" t="s">
        <v>836</v>
      </c>
      <c r="C335" s="1105" t="s">
        <v>868</v>
      </c>
      <c r="D335" s="1105">
        <v>18284</v>
      </c>
      <c r="E335" s="1105" t="s">
        <v>1063</v>
      </c>
      <c r="F335" s="1105">
        <v>6998</v>
      </c>
      <c r="G335" s="1105">
        <v>7343</v>
      </c>
      <c r="H335" s="1105">
        <v>345</v>
      </c>
      <c r="I335" s="1106"/>
      <c r="J335" s="1107"/>
    </row>
    <row r="336" spans="1:10" x14ac:dyDescent="0.35">
      <c r="A336" s="1104"/>
      <c r="B336" s="1105" t="s">
        <v>836</v>
      </c>
      <c r="C336" s="1105" t="s">
        <v>896</v>
      </c>
      <c r="D336" s="1105">
        <v>14227</v>
      </c>
      <c r="E336" s="1105" t="s">
        <v>1014</v>
      </c>
      <c r="F336" s="1105">
        <v>461</v>
      </c>
      <c r="G336" s="1105">
        <v>2100</v>
      </c>
      <c r="H336" s="1105">
        <v>1639</v>
      </c>
      <c r="I336" s="1106"/>
      <c r="J336" s="1107"/>
    </row>
    <row r="337" spans="1:10" x14ac:dyDescent="0.35">
      <c r="A337" s="1104"/>
      <c r="B337" s="1105" t="s">
        <v>836</v>
      </c>
      <c r="C337" s="1105" t="s">
        <v>851</v>
      </c>
      <c r="D337" s="1105">
        <v>25128</v>
      </c>
      <c r="E337" s="1105" t="s">
        <v>1076</v>
      </c>
      <c r="F337" s="1105">
        <v>4910</v>
      </c>
      <c r="G337" s="1105">
        <v>10739</v>
      </c>
      <c r="H337" s="1105">
        <v>5829</v>
      </c>
      <c r="I337" s="1106"/>
      <c r="J337" s="1107"/>
    </row>
    <row r="338" spans="1:10" x14ac:dyDescent="0.35">
      <c r="A338" s="1104"/>
      <c r="B338" s="1105" t="s">
        <v>836</v>
      </c>
      <c r="C338" s="1105" t="s">
        <v>896</v>
      </c>
      <c r="D338" s="1105">
        <v>14166</v>
      </c>
      <c r="E338" s="1105" t="s">
        <v>997</v>
      </c>
      <c r="F338" s="1105">
        <v>1475</v>
      </c>
      <c r="G338" s="1105">
        <v>5216</v>
      </c>
      <c r="H338" s="1105">
        <v>3741</v>
      </c>
      <c r="I338" s="1106"/>
      <c r="J338" s="1107"/>
    </row>
    <row r="339" spans="1:10" x14ac:dyDescent="0.35">
      <c r="A339" s="1104"/>
      <c r="B339" s="1105" t="s">
        <v>836</v>
      </c>
      <c r="C339" s="1105" t="s">
        <v>851</v>
      </c>
      <c r="D339" s="1105">
        <v>25120</v>
      </c>
      <c r="E339" s="1105" t="s">
        <v>1106</v>
      </c>
      <c r="F339" s="1105">
        <v>0</v>
      </c>
      <c r="G339" s="1105">
        <v>1864</v>
      </c>
      <c r="H339" s="1105">
        <v>1864</v>
      </c>
      <c r="I339" s="1106"/>
      <c r="J339" s="1107"/>
    </row>
    <row r="340" spans="1:10" x14ac:dyDescent="0.35">
      <c r="A340" s="1104"/>
      <c r="B340" s="1105" t="s">
        <v>842</v>
      </c>
      <c r="C340" s="1105" t="s">
        <v>887</v>
      </c>
      <c r="D340" s="1105">
        <v>24231</v>
      </c>
      <c r="E340" s="1105" t="s">
        <v>1107</v>
      </c>
      <c r="F340" s="1105">
        <v>2071</v>
      </c>
      <c r="G340" s="1105">
        <v>7198</v>
      </c>
      <c r="H340" s="1105">
        <v>5127</v>
      </c>
      <c r="I340" s="1106"/>
      <c r="J340" s="1107"/>
    </row>
    <row r="341" spans="1:10" x14ac:dyDescent="0.35">
      <c r="A341" s="1104"/>
      <c r="B341" s="1105" t="s">
        <v>836</v>
      </c>
      <c r="C341" s="1105" t="s">
        <v>837</v>
      </c>
      <c r="D341" s="1105">
        <v>23235</v>
      </c>
      <c r="E341" s="1105" t="s">
        <v>1108</v>
      </c>
      <c r="F341" s="1105">
        <v>0</v>
      </c>
      <c r="G341" s="1105">
        <v>4638</v>
      </c>
      <c r="H341" s="1105">
        <v>4638</v>
      </c>
      <c r="I341" s="1106"/>
      <c r="J341" s="1107"/>
    </row>
    <row r="342" spans="1:10" x14ac:dyDescent="0.35">
      <c r="A342" s="1104"/>
      <c r="B342" s="1105" t="s">
        <v>836</v>
      </c>
      <c r="C342" s="1105" t="s">
        <v>851</v>
      </c>
      <c r="D342" s="1105">
        <v>25104</v>
      </c>
      <c r="E342" s="1105" t="s">
        <v>1109</v>
      </c>
      <c r="F342" s="1105">
        <v>0</v>
      </c>
      <c r="G342" s="1105">
        <v>4184</v>
      </c>
      <c r="H342" s="1105">
        <v>4184</v>
      </c>
      <c r="I342" s="1106"/>
      <c r="J342" s="1107"/>
    </row>
    <row r="343" spans="1:10" x14ac:dyDescent="0.35">
      <c r="A343" s="1104"/>
      <c r="B343" s="1105" t="s">
        <v>836</v>
      </c>
      <c r="C343" s="1105" t="s">
        <v>851</v>
      </c>
      <c r="D343" s="1105">
        <v>25126</v>
      </c>
      <c r="E343" s="1105" t="s">
        <v>1110</v>
      </c>
      <c r="F343" s="1105">
        <v>990</v>
      </c>
      <c r="G343" s="1105">
        <v>3204</v>
      </c>
      <c r="H343" s="1105">
        <v>2214</v>
      </c>
      <c r="I343" s="1106"/>
      <c r="J343" s="1107"/>
    </row>
    <row r="344" spans="1:10" x14ac:dyDescent="0.35">
      <c r="A344" s="1104"/>
      <c r="B344" s="1105" t="s">
        <v>854</v>
      </c>
      <c r="C344" s="1105" t="s">
        <v>864</v>
      </c>
      <c r="D344" s="1105">
        <v>20186</v>
      </c>
      <c r="E344" s="1105" t="s">
        <v>878</v>
      </c>
      <c r="F344" s="1105">
        <v>40</v>
      </c>
      <c r="G344" s="1105">
        <v>7500</v>
      </c>
      <c r="H344" s="1105">
        <v>7460</v>
      </c>
      <c r="I344" s="1106"/>
      <c r="J344" s="1107"/>
    </row>
    <row r="345" spans="1:10" x14ac:dyDescent="0.35">
      <c r="A345" s="1104"/>
      <c r="B345" s="1105" t="s">
        <v>854</v>
      </c>
      <c r="C345" s="1105" t="s">
        <v>864</v>
      </c>
      <c r="D345" s="1105">
        <v>20186</v>
      </c>
      <c r="E345" s="1105" t="s">
        <v>878</v>
      </c>
      <c r="F345" s="1105">
        <v>7500</v>
      </c>
      <c r="G345" s="1105">
        <v>8573</v>
      </c>
      <c r="H345" s="1105">
        <v>1073</v>
      </c>
      <c r="I345" s="1106"/>
      <c r="J345" s="1107"/>
    </row>
    <row r="346" spans="1:10" x14ac:dyDescent="0.35">
      <c r="A346" s="1104"/>
      <c r="B346" s="1105" t="s">
        <v>842</v>
      </c>
      <c r="C346" s="1105" t="s">
        <v>848</v>
      </c>
      <c r="D346" s="1105">
        <v>19337</v>
      </c>
      <c r="E346" s="1105" t="s">
        <v>1010</v>
      </c>
      <c r="F346" s="1105">
        <v>18882</v>
      </c>
      <c r="G346" s="1105">
        <v>22553</v>
      </c>
      <c r="H346" s="1105">
        <v>3671</v>
      </c>
      <c r="I346" s="1106"/>
      <c r="J346" s="1107"/>
    </row>
    <row r="347" spans="1:10" x14ac:dyDescent="0.35">
      <c r="A347" s="1104"/>
      <c r="B347" s="1105" t="s">
        <v>854</v>
      </c>
      <c r="C347" s="1105" t="s">
        <v>864</v>
      </c>
      <c r="D347" s="1105">
        <v>20161</v>
      </c>
      <c r="E347" s="1105" t="s">
        <v>1111</v>
      </c>
      <c r="F347" s="1105">
        <v>1990</v>
      </c>
      <c r="G347" s="1105">
        <v>3282</v>
      </c>
      <c r="H347" s="1105">
        <v>1292</v>
      </c>
      <c r="I347" s="1106"/>
      <c r="J347" s="1107"/>
    </row>
    <row r="348" spans="1:10" x14ac:dyDescent="0.35">
      <c r="A348" s="1104"/>
      <c r="B348" s="1105" t="s">
        <v>842</v>
      </c>
      <c r="C348" s="1105" t="s">
        <v>848</v>
      </c>
      <c r="D348" s="1105">
        <v>19276</v>
      </c>
      <c r="E348" s="1105" t="s">
        <v>1112</v>
      </c>
      <c r="F348" s="1105">
        <v>4942</v>
      </c>
      <c r="G348" s="1105">
        <v>8931</v>
      </c>
      <c r="H348" s="1105">
        <v>3989</v>
      </c>
      <c r="I348" s="1106"/>
      <c r="J348" s="1107"/>
    </row>
    <row r="349" spans="1:10" x14ac:dyDescent="0.35">
      <c r="A349" s="1104"/>
      <c r="B349" s="1105" t="s">
        <v>836</v>
      </c>
      <c r="C349" s="1105" t="s">
        <v>896</v>
      </c>
      <c r="D349" s="1105">
        <v>14212</v>
      </c>
      <c r="E349" s="1105" t="s">
        <v>1113</v>
      </c>
      <c r="F349" s="1105">
        <v>5210</v>
      </c>
      <c r="G349" s="1105">
        <v>7778</v>
      </c>
      <c r="H349" s="1105">
        <v>2568</v>
      </c>
      <c r="I349" s="1106"/>
      <c r="J349" s="1107"/>
    </row>
    <row r="350" spans="1:10" x14ac:dyDescent="0.35">
      <c r="A350" s="1104"/>
      <c r="B350" s="1105" t="s">
        <v>842</v>
      </c>
      <c r="C350" s="1105" t="s">
        <v>848</v>
      </c>
      <c r="D350" s="1105">
        <v>19334</v>
      </c>
      <c r="E350" s="1105" t="s">
        <v>1018</v>
      </c>
      <c r="F350" s="1105">
        <v>4015</v>
      </c>
      <c r="G350" s="1105">
        <v>8457</v>
      </c>
      <c r="H350" s="1105">
        <v>4442</v>
      </c>
      <c r="I350" s="1106"/>
      <c r="J350" s="1107"/>
    </row>
    <row r="351" spans="1:10" x14ac:dyDescent="0.35">
      <c r="A351" s="1104"/>
      <c r="B351" s="1105" t="s">
        <v>836</v>
      </c>
      <c r="C351" s="1105" t="s">
        <v>837</v>
      </c>
      <c r="D351" s="1105">
        <v>23145</v>
      </c>
      <c r="E351" s="1105" t="s">
        <v>1114</v>
      </c>
      <c r="F351" s="1105">
        <v>0</v>
      </c>
      <c r="G351" s="1105">
        <v>2065</v>
      </c>
      <c r="H351" s="1105">
        <v>2065</v>
      </c>
      <c r="I351" s="1106"/>
      <c r="J351" s="1107"/>
    </row>
    <row r="352" spans="1:10" x14ac:dyDescent="0.35">
      <c r="A352" s="1104"/>
      <c r="B352" s="1105" t="s">
        <v>836</v>
      </c>
      <c r="C352" s="1105" t="s">
        <v>896</v>
      </c>
      <c r="D352" s="1105">
        <v>14124</v>
      </c>
      <c r="E352" s="1105" t="s">
        <v>1115</v>
      </c>
      <c r="F352" s="1105">
        <v>0</v>
      </c>
      <c r="G352" s="1105">
        <v>2361</v>
      </c>
      <c r="H352" s="1105">
        <v>2361</v>
      </c>
      <c r="I352" s="1106"/>
      <c r="J352" s="1107"/>
    </row>
    <row r="353" spans="1:10" x14ac:dyDescent="0.35">
      <c r="A353" s="1104"/>
      <c r="B353" s="1105" t="s">
        <v>836</v>
      </c>
      <c r="C353" s="1105" t="s">
        <v>896</v>
      </c>
      <c r="D353" s="1105">
        <v>14196</v>
      </c>
      <c r="E353" s="1105" t="s">
        <v>1116</v>
      </c>
      <c r="F353" s="1105">
        <v>1000</v>
      </c>
      <c r="G353" s="1105">
        <v>4862</v>
      </c>
      <c r="H353" s="1105">
        <v>3862</v>
      </c>
      <c r="I353" s="1106"/>
      <c r="J353" s="1107"/>
    </row>
    <row r="354" spans="1:10" x14ac:dyDescent="0.35">
      <c r="A354" s="1104"/>
      <c r="B354" s="1105" t="s">
        <v>842</v>
      </c>
      <c r="C354" s="1105" t="s">
        <v>848</v>
      </c>
      <c r="D354" s="1105">
        <v>19241</v>
      </c>
      <c r="E354" s="1105" t="s">
        <v>1117</v>
      </c>
      <c r="F354" s="1105">
        <v>957</v>
      </c>
      <c r="G354" s="1105">
        <v>5927</v>
      </c>
      <c r="H354" s="1105">
        <v>4970</v>
      </c>
      <c r="I354" s="1106"/>
      <c r="J354" s="1107"/>
    </row>
    <row r="355" spans="1:10" x14ac:dyDescent="0.35">
      <c r="A355" s="1104"/>
      <c r="B355" s="1105" t="s">
        <v>836</v>
      </c>
      <c r="C355" s="1105" t="s">
        <v>837</v>
      </c>
      <c r="D355" s="1105">
        <v>23171</v>
      </c>
      <c r="E355" s="1105" t="s">
        <v>1118</v>
      </c>
      <c r="F355" s="1105">
        <v>0</v>
      </c>
      <c r="G355" s="1105">
        <v>2700</v>
      </c>
      <c r="H355" s="1105">
        <v>2700</v>
      </c>
      <c r="I355" s="1106"/>
      <c r="J355" s="1107"/>
    </row>
    <row r="356" spans="1:10" x14ac:dyDescent="0.35">
      <c r="A356" s="1104"/>
      <c r="B356" s="1105" t="s">
        <v>842</v>
      </c>
      <c r="C356" s="1105" t="s">
        <v>848</v>
      </c>
      <c r="D356" s="1105">
        <v>19334</v>
      </c>
      <c r="E356" s="1105" t="s">
        <v>1018</v>
      </c>
      <c r="F356" s="1105">
        <v>0</v>
      </c>
      <c r="G356" s="1105">
        <v>4015</v>
      </c>
      <c r="H356" s="1105">
        <v>4015</v>
      </c>
      <c r="I356" s="1106"/>
      <c r="J356" s="1107"/>
    </row>
    <row r="357" spans="1:10" x14ac:dyDescent="0.35">
      <c r="A357" s="1104"/>
      <c r="B357" s="1105" t="s">
        <v>836</v>
      </c>
      <c r="C357" s="1105" t="s">
        <v>896</v>
      </c>
      <c r="D357" s="1105">
        <v>14120</v>
      </c>
      <c r="E357" s="1105" t="s">
        <v>1026</v>
      </c>
      <c r="F357" s="1105">
        <v>4000</v>
      </c>
      <c r="G357" s="1105">
        <v>5189</v>
      </c>
      <c r="H357" s="1105">
        <v>1189</v>
      </c>
      <c r="I357" s="1106"/>
      <c r="J357" s="1107"/>
    </row>
    <row r="358" spans="1:10" x14ac:dyDescent="0.35">
      <c r="A358" s="1104"/>
      <c r="B358" s="1105" t="s">
        <v>836</v>
      </c>
      <c r="C358" s="1105" t="s">
        <v>837</v>
      </c>
      <c r="D358" s="1105">
        <v>23234</v>
      </c>
      <c r="E358" s="1105" t="s">
        <v>1119</v>
      </c>
      <c r="F358" s="1105">
        <v>0</v>
      </c>
      <c r="G358" s="1105">
        <v>1067</v>
      </c>
      <c r="H358" s="1105">
        <v>1067</v>
      </c>
      <c r="I358" s="1106"/>
      <c r="J358" s="1107"/>
    </row>
    <row r="359" spans="1:10" x14ac:dyDescent="0.35">
      <c r="A359" s="1104"/>
      <c r="B359" s="1105" t="s">
        <v>842</v>
      </c>
      <c r="C359" s="1105" t="s">
        <v>887</v>
      </c>
      <c r="D359" s="1105">
        <v>24164</v>
      </c>
      <c r="E359" s="1105" t="s">
        <v>1069</v>
      </c>
      <c r="F359" s="1105">
        <v>6415</v>
      </c>
      <c r="G359" s="1105">
        <v>8124</v>
      </c>
      <c r="H359" s="1105">
        <v>1709</v>
      </c>
      <c r="I359" s="1106"/>
      <c r="J359" s="1107"/>
    </row>
    <row r="360" spans="1:10" x14ac:dyDescent="0.35">
      <c r="A360" s="1104"/>
      <c r="B360" s="1105" t="s">
        <v>836</v>
      </c>
      <c r="C360" s="1105" t="s">
        <v>837</v>
      </c>
      <c r="D360" s="1105">
        <v>23239</v>
      </c>
      <c r="E360" s="1105" t="s">
        <v>1120</v>
      </c>
      <c r="F360" s="1105">
        <v>20</v>
      </c>
      <c r="G360" s="1105">
        <v>4260</v>
      </c>
      <c r="H360" s="1105">
        <v>4240</v>
      </c>
      <c r="I360" s="1106"/>
      <c r="J360" s="1107"/>
    </row>
    <row r="361" spans="1:10" x14ac:dyDescent="0.35">
      <c r="A361" s="1104"/>
      <c r="B361" s="1105" t="s">
        <v>842</v>
      </c>
      <c r="C361" s="1105" t="s">
        <v>887</v>
      </c>
      <c r="D361" s="1105">
        <v>24107</v>
      </c>
      <c r="E361" s="1105" t="s">
        <v>1121</v>
      </c>
      <c r="F361" s="1105">
        <v>0</v>
      </c>
      <c r="G361" s="1105">
        <v>7160</v>
      </c>
      <c r="H361" s="1105">
        <v>7160</v>
      </c>
      <c r="I361" s="1106"/>
      <c r="J361" s="1107"/>
    </row>
    <row r="362" spans="1:10" x14ac:dyDescent="0.35">
      <c r="A362" s="1104"/>
      <c r="B362" s="1105" t="s">
        <v>836</v>
      </c>
      <c r="C362" s="1105" t="s">
        <v>837</v>
      </c>
      <c r="D362" s="1105">
        <v>23142</v>
      </c>
      <c r="E362" s="1105" t="s">
        <v>1122</v>
      </c>
      <c r="F362" s="1105">
        <v>0</v>
      </c>
      <c r="G362" s="1105">
        <v>5235</v>
      </c>
      <c r="H362" s="1105">
        <v>5235</v>
      </c>
      <c r="I362" s="1106"/>
      <c r="J362" s="1107"/>
    </row>
    <row r="363" spans="1:10" x14ac:dyDescent="0.35">
      <c r="A363" s="1104"/>
      <c r="B363" s="1105" t="s">
        <v>836</v>
      </c>
      <c r="C363" s="1105" t="s">
        <v>837</v>
      </c>
      <c r="D363" s="1105">
        <v>23108</v>
      </c>
      <c r="E363" s="1105" t="s">
        <v>1123</v>
      </c>
      <c r="F363" s="1105">
        <v>0</v>
      </c>
      <c r="G363" s="1105">
        <v>5343</v>
      </c>
      <c r="H363" s="1105">
        <v>5343</v>
      </c>
      <c r="I363" s="1106"/>
      <c r="J363" s="1107"/>
    </row>
    <row r="364" spans="1:10" x14ac:dyDescent="0.35">
      <c r="A364" s="1104"/>
      <c r="B364" s="1105" t="s">
        <v>842</v>
      </c>
      <c r="C364" s="1105" t="s">
        <v>843</v>
      </c>
      <c r="D364" s="1105">
        <v>21125</v>
      </c>
      <c r="E364" s="1105" t="s">
        <v>1124</v>
      </c>
      <c r="F364" s="1105">
        <v>774</v>
      </c>
      <c r="G364" s="1105">
        <v>4406</v>
      </c>
      <c r="H364" s="1105">
        <v>3632</v>
      </c>
      <c r="I364" s="1106"/>
      <c r="J364" s="1107"/>
    </row>
    <row r="365" spans="1:10" x14ac:dyDescent="0.35">
      <c r="A365" s="1104"/>
      <c r="B365" s="1105" t="s">
        <v>842</v>
      </c>
      <c r="C365" s="1105" t="s">
        <v>843</v>
      </c>
      <c r="D365" s="1105">
        <v>21125</v>
      </c>
      <c r="E365" s="1105" t="s">
        <v>1124</v>
      </c>
      <c r="F365" s="1105">
        <v>5475</v>
      </c>
      <c r="G365" s="1105">
        <v>8585</v>
      </c>
      <c r="H365" s="1105">
        <v>3110</v>
      </c>
      <c r="I365" s="1106"/>
      <c r="J365" s="1107"/>
    </row>
    <row r="366" spans="1:10" x14ac:dyDescent="0.35">
      <c r="A366" s="1104"/>
      <c r="B366" s="1105" t="s">
        <v>842</v>
      </c>
      <c r="C366" s="1105" t="s">
        <v>843</v>
      </c>
      <c r="D366" s="1105">
        <v>21177</v>
      </c>
      <c r="E366" s="1105" t="s">
        <v>1125</v>
      </c>
      <c r="F366" s="1105">
        <v>1169</v>
      </c>
      <c r="G366" s="1105">
        <v>2605</v>
      </c>
      <c r="H366" s="1105">
        <v>1436</v>
      </c>
      <c r="I366" s="1106"/>
      <c r="J366" s="1107"/>
    </row>
    <row r="367" spans="1:10" x14ac:dyDescent="0.35">
      <c r="A367" s="1104"/>
      <c r="B367" s="1105" t="s">
        <v>836</v>
      </c>
      <c r="C367" s="1105" t="s">
        <v>837</v>
      </c>
      <c r="D367" s="1105">
        <v>23170</v>
      </c>
      <c r="E367" s="1105" t="s">
        <v>1126</v>
      </c>
      <c r="F367" s="1105">
        <v>0</v>
      </c>
      <c r="G367" s="1105">
        <v>4032</v>
      </c>
      <c r="H367" s="1105">
        <v>4032</v>
      </c>
      <c r="I367" s="1106"/>
      <c r="J367" s="1107"/>
    </row>
    <row r="368" spans="1:10" x14ac:dyDescent="0.35">
      <c r="A368" s="1104"/>
      <c r="B368" s="1105" t="s">
        <v>842</v>
      </c>
      <c r="C368" s="1105" t="s">
        <v>843</v>
      </c>
      <c r="D368" s="1105">
        <v>21103</v>
      </c>
      <c r="E368" s="1105" t="s">
        <v>1127</v>
      </c>
      <c r="F368" s="1105">
        <v>60</v>
      </c>
      <c r="G368" s="1105">
        <v>2895</v>
      </c>
      <c r="H368" s="1105">
        <v>2835</v>
      </c>
      <c r="I368" s="1106"/>
      <c r="J368" s="1107"/>
    </row>
    <row r="369" spans="1:10" x14ac:dyDescent="0.35">
      <c r="A369" s="1104"/>
      <c r="B369" s="1105" t="s">
        <v>842</v>
      </c>
      <c r="C369" s="1105" t="s">
        <v>887</v>
      </c>
      <c r="D369" s="1105">
        <v>24155</v>
      </c>
      <c r="E369" s="1105" t="s">
        <v>1128</v>
      </c>
      <c r="F369" s="1105">
        <v>13423</v>
      </c>
      <c r="G369" s="1105">
        <v>18027</v>
      </c>
      <c r="H369" s="1105">
        <v>4604</v>
      </c>
      <c r="I369" s="1106"/>
      <c r="J369" s="1107"/>
    </row>
    <row r="370" spans="1:10" x14ac:dyDescent="0.35">
      <c r="A370" s="1104"/>
      <c r="B370" s="1105" t="s">
        <v>842</v>
      </c>
      <c r="C370" s="1105" t="s">
        <v>843</v>
      </c>
      <c r="D370" s="1105">
        <v>21173</v>
      </c>
      <c r="E370" s="1105" t="s">
        <v>1129</v>
      </c>
      <c r="F370" s="1105">
        <v>47</v>
      </c>
      <c r="G370" s="1105">
        <v>2606</v>
      </c>
      <c r="H370" s="1105">
        <v>2559</v>
      </c>
      <c r="I370" s="1106"/>
      <c r="J370" s="1107"/>
    </row>
    <row r="371" spans="1:10" x14ac:dyDescent="0.35">
      <c r="A371" s="1104"/>
      <c r="B371" s="1105" t="s">
        <v>842</v>
      </c>
      <c r="C371" s="1105" t="s">
        <v>843</v>
      </c>
      <c r="D371" s="1105">
        <v>21162</v>
      </c>
      <c r="E371" s="1105" t="s">
        <v>1130</v>
      </c>
      <c r="F371" s="1105">
        <v>67</v>
      </c>
      <c r="G371" s="1105">
        <v>3621</v>
      </c>
      <c r="H371" s="1105">
        <v>3554</v>
      </c>
      <c r="I371" s="1106"/>
      <c r="J371" s="1107"/>
    </row>
    <row r="372" spans="1:10" x14ac:dyDescent="0.35">
      <c r="A372" s="1104"/>
      <c r="B372" s="1105" t="s">
        <v>850</v>
      </c>
      <c r="C372" s="1105" t="s">
        <v>902</v>
      </c>
      <c r="D372" s="1105">
        <v>15166</v>
      </c>
      <c r="E372" s="1105" t="s">
        <v>1131</v>
      </c>
      <c r="F372" s="1105">
        <v>1236</v>
      </c>
      <c r="G372" s="1105">
        <v>3573</v>
      </c>
      <c r="H372" s="1105">
        <v>2337</v>
      </c>
      <c r="I372" s="1106"/>
      <c r="J372" s="1107"/>
    </row>
    <row r="373" spans="1:10" x14ac:dyDescent="0.35">
      <c r="A373" s="1104"/>
      <c r="B373" s="1105" t="s">
        <v>842</v>
      </c>
      <c r="C373" s="1105" t="s">
        <v>843</v>
      </c>
      <c r="D373" s="1105">
        <v>21182</v>
      </c>
      <c r="E373" s="1105" t="s">
        <v>1132</v>
      </c>
      <c r="F373" s="1105">
        <v>590</v>
      </c>
      <c r="G373" s="1105">
        <v>1444</v>
      </c>
      <c r="H373" s="1105">
        <v>854</v>
      </c>
      <c r="I373" s="1106"/>
      <c r="J373" s="1107"/>
    </row>
    <row r="374" spans="1:10" x14ac:dyDescent="0.35">
      <c r="A374" s="1104"/>
      <c r="B374" s="1105" t="s">
        <v>836</v>
      </c>
      <c r="C374" s="1105" t="s">
        <v>837</v>
      </c>
      <c r="D374" s="1105">
        <v>23143</v>
      </c>
      <c r="E374" s="1105" t="s">
        <v>1028</v>
      </c>
      <c r="F374" s="1105">
        <v>6841</v>
      </c>
      <c r="G374" s="1105">
        <v>10011</v>
      </c>
      <c r="H374" s="1105">
        <v>3170</v>
      </c>
      <c r="I374" s="1106"/>
      <c r="J374" s="1107"/>
    </row>
    <row r="375" spans="1:10" x14ac:dyDescent="0.35">
      <c r="A375" s="1104"/>
      <c r="B375" s="1105" t="s">
        <v>850</v>
      </c>
      <c r="C375" s="1105" t="s">
        <v>893</v>
      </c>
      <c r="D375" s="1105">
        <v>13181</v>
      </c>
      <c r="E375" s="1105" t="s">
        <v>1133</v>
      </c>
      <c r="F375" s="1105">
        <v>189</v>
      </c>
      <c r="G375" s="1105">
        <v>1578</v>
      </c>
      <c r="H375" s="1105">
        <v>1389</v>
      </c>
      <c r="I375" s="1106"/>
      <c r="J375" s="1107"/>
    </row>
    <row r="376" spans="1:10" x14ac:dyDescent="0.35">
      <c r="A376" s="1104"/>
      <c r="B376" s="1105" t="s">
        <v>850</v>
      </c>
      <c r="C376" s="1105" t="s">
        <v>893</v>
      </c>
      <c r="D376" s="1105">
        <v>13181</v>
      </c>
      <c r="E376" s="1105" t="s">
        <v>1133</v>
      </c>
      <c r="F376" s="1105">
        <v>1578</v>
      </c>
      <c r="G376" s="1105">
        <v>2248</v>
      </c>
      <c r="H376" s="1105">
        <v>670</v>
      </c>
      <c r="I376" s="1106"/>
      <c r="J376" s="1107"/>
    </row>
    <row r="377" spans="1:10" x14ac:dyDescent="0.35">
      <c r="A377" s="1104"/>
      <c r="B377" s="1105" t="s">
        <v>850</v>
      </c>
      <c r="C377" s="1105" t="s">
        <v>893</v>
      </c>
      <c r="D377" s="1105">
        <v>13181</v>
      </c>
      <c r="E377" s="1105" t="s">
        <v>1133</v>
      </c>
      <c r="F377" s="1105">
        <v>3096</v>
      </c>
      <c r="G377" s="1105">
        <v>4639</v>
      </c>
      <c r="H377" s="1105">
        <v>1543</v>
      </c>
      <c r="I377" s="1106"/>
      <c r="J377" s="1107"/>
    </row>
    <row r="378" spans="1:10" x14ac:dyDescent="0.35">
      <c r="A378" s="1104"/>
      <c r="B378" s="1105" t="s">
        <v>850</v>
      </c>
      <c r="C378" s="1105" t="s">
        <v>893</v>
      </c>
      <c r="D378" s="1105">
        <v>13196</v>
      </c>
      <c r="E378" s="1105" t="s">
        <v>1134</v>
      </c>
      <c r="F378" s="1105">
        <v>0</v>
      </c>
      <c r="G378" s="1105">
        <v>1777</v>
      </c>
      <c r="H378" s="1105">
        <v>1777</v>
      </c>
      <c r="I378" s="1106"/>
      <c r="J378" s="1107"/>
    </row>
    <row r="379" spans="1:10" x14ac:dyDescent="0.35">
      <c r="A379" s="1104"/>
      <c r="B379" s="1105" t="s">
        <v>850</v>
      </c>
      <c r="C379" s="1105" t="s">
        <v>902</v>
      </c>
      <c r="D379" s="1105">
        <v>15204</v>
      </c>
      <c r="E379" s="1105" t="s">
        <v>1135</v>
      </c>
      <c r="F379" s="1105">
        <v>1296</v>
      </c>
      <c r="G379" s="1105">
        <v>3598</v>
      </c>
      <c r="H379" s="1105">
        <v>2302</v>
      </c>
      <c r="I379" s="1106"/>
      <c r="J379" s="1107"/>
    </row>
    <row r="380" spans="1:10" x14ac:dyDescent="0.35">
      <c r="A380" s="1104"/>
      <c r="B380" s="1105" t="s">
        <v>836</v>
      </c>
      <c r="C380" s="1105" t="s">
        <v>837</v>
      </c>
      <c r="D380" s="1105">
        <v>25118</v>
      </c>
      <c r="E380" s="1105" t="s">
        <v>1136</v>
      </c>
      <c r="F380" s="1105">
        <v>6308</v>
      </c>
      <c r="G380" s="1105">
        <v>6407</v>
      </c>
      <c r="H380" s="1105">
        <v>99</v>
      </c>
      <c r="I380" s="1106"/>
      <c r="J380" s="1107"/>
    </row>
    <row r="381" spans="1:10" x14ac:dyDescent="0.35">
      <c r="A381" s="1104"/>
      <c r="B381" s="1105" t="s">
        <v>850</v>
      </c>
      <c r="C381" s="1105" t="s">
        <v>902</v>
      </c>
      <c r="D381" s="1105">
        <v>15200</v>
      </c>
      <c r="E381" s="1105" t="s">
        <v>1137</v>
      </c>
      <c r="F381" s="1105">
        <v>1134</v>
      </c>
      <c r="G381" s="1105">
        <v>2050</v>
      </c>
      <c r="H381" s="1105">
        <v>916</v>
      </c>
      <c r="I381" s="1106"/>
      <c r="J381" s="1107"/>
    </row>
    <row r="382" spans="1:10" x14ac:dyDescent="0.35">
      <c r="A382" s="1104"/>
      <c r="B382" s="1105" t="s">
        <v>850</v>
      </c>
      <c r="C382" s="1105" t="s">
        <v>902</v>
      </c>
      <c r="D382" s="1105">
        <v>15185</v>
      </c>
      <c r="E382" s="1105" t="s">
        <v>1138</v>
      </c>
      <c r="F382" s="1105">
        <v>0</v>
      </c>
      <c r="G382" s="1105">
        <v>3426</v>
      </c>
      <c r="H382" s="1105">
        <v>3426</v>
      </c>
      <c r="I382" s="1106"/>
      <c r="J382" s="1107"/>
    </row>
    <row r="383" spans="1:10" x14ac:dyDescent="0.35">
      <c r="A383" s="1104"/>
      <c r="B383" s="1105" t="s">
        <v>850</v>
      </c>
      <c r="C383" s="1105" t="s">
        <v>902</v>
      </c>
      <c r="D383" s="1105">
        <v>15214</v>
      </c>
      <c r="E383" s="1105" t="s">
        <v>1139</v>
      </c>
      <c r="F383" s="1105">
        <v>0</v>
      </c>
      <c r="G383" s="1105">
        <v>1600</v>
      </c>
      <c r="H383" s="1105">
        <v>1600</v>
      </c>
      <c r="I383" s="1106"/>
      <c r="J383" s="1107"/>
    </row>
    <row r="384" spans="1:10" x14ac:dyDescent="0.35">
      <c r="A384" s="1104"/>
      <c r="B384" s="1105" t="s">
        <v>842</v>
      </c>
      <c r="C384" s="1105" t="s">
        <v>887</v>
      </c>
      <c r="D384" s="1105">
        <v>24164</v>
      </c>
      <c r="E384" s="1105" t="s">
        <v>1069</v>
      </c>
      <c r="F384" s="1105">
        <v>5930</v>
      </c>
      <c r="G384" s="1105">
        <v>6331</v>
      </c>
      <c r="H384" s="1105">
        <v>401</v>
      </c>
      <c r="I384" s="1106"/>
      <c r="J384" s="1107"/>
    </row>
    <row r="385" spans="1:14" x14ac:dyDescent="0.35">
      <c r="A385" s="1104"/>
      <c r="B385" s="1105" t="s">
        <v>850</v>
      </c>
      <c r="C385" s="1105" t="s">
        <v>902</v>
      </c>
      <c r="D385" s="1105">
        <v>15189</v>
      </c>
      <c r="E385" s="1105" t="s">
        <v>1140</v>
      </c>
      <c r="F385" s="1105">
        <v>927</v>
      </c>
      <c r="G385" s="1105">
        <v>5307</v>
      </c>
      <c r="H385" s="1105">
        <v>4380</v>
      </c>
      <c r="I385" s="1106"/>
      <c r="J385" s="1107"/>
    </row>
    <row r="386" spans="1:14" x14ac:dyDescent="0.35">
      <c r="A386" s="1104"/>
      <c r="B386" s="1105" t="s">
        <v>850</v>
      </c>
      <c r="C386" s="1105" t="s">
        <v>893</v>
      </c>
      <c r="D386" s="1105">
        <v>13166</v>
      </c>
      <c r="E386" s="1105" t="s">
        <v>1141</v>
      </c>
      <c r="F386" s="1105">
        <v>4000</v>
      </c>
      <c r="G386" s="1105">
        <v>5224</v>
      </c>
      <c r="H386" s="1105">
        <v>1224</v>
      </c>
      <c r="I386" s="1106"/>
      <c r="J386" s="1107"/>
    </row>
    <row r="387" spans="1:14" x14ac:dyDescent="0.35">
      <c r="A387" s="1104"/>
      <c r="B387" s="1105" t="s">
        <v>850</v>
      </c>
      <c r="C387" s="1105" t="s">
        <v>902</v>
      </c>
      <c r="D387" s="1105">
        <v>15215</v>
      </c>
      <c r="E387" s="1105" t="s">
        <v>1142</v>
      </c>
      <c r="F387" s="1105">
        <v>0</v>
      </c>
      <c r="G387" s="1105">
        <v>2246</v>
      </c>
      <c r="H387" s="1105">
        <v>2246</v>
      </c>
      <c r="I387" s="1106"/>
      <c r="J387" s="1107"/>
    </row>
    <row r="388" spans="1:14" x14ac:dyDescent="0.35">
      <c r="A388" s="1104"/>
      <c r="B388" s="1105" t="s">
        <v>836</v>
      </c>
      <c r="C388" s="1105" t="s">
        <v>851</v>
      </c>
      <c r="D388" s="1105">
        <v>25245</v>
      </c>
      <c r="E388" s="1105" t="s">
        <v>1143</v>
      </c>
      <c r="F388" s="1105">
        <v>14165</v>
      </c>
      <c r="G388" s="1105">
        <v>17485</v>
      </c>
      <c r="H388" s="1105">
        <v>3320</v>
      </c>
      <c r="I388" s="1106"/>
      <c r="J388" s="1107"/>
    </row>
    <row r="389" spans="1:14" x14ac:dyDescent="0.35">
      <c r="A389" s="1104"/>
      <c r="B389" s="1105" t="s">
        <v>850</v>
      </c>
      <c r="C389" s="1105" t="s">
        <v>893</v>
      </c>
      <c r="D389" s="1105">
        <v>13151</v>
      </c>
      <c r="E389" s="1105" t="s">
        <v>919</v>
      </c>
      <c r="F389" s="1105">
        <v>14751</v>
      </c>
      <c r="G389" s="1105">
        <v>19744</v>
      </c>
      <c r="H389" s="1105">
        <v>4993</v>
      </c>
      <c r="I389" s="1106"/>
      <c r="J389" s="1107"/>
    </row>
    <row r="390" spans="1:14" x14ac:dyDescent="0.35">
      <c r="A390" s="1108"/>
      <c r="B390" s="1109" t="s">
        <v>850</v>
      </c>
      <c r="C390" s="1109" t="s">
        <v>893</v>
      </c>
      <c r="D390" s="1109">
        <v>13166</v>
      </c>
      <c r="E390" s="1109" t="s">
        <v>1141</v>
      </c>
      <c r="F390" s="1109">
        <v>0</v>
      </c>
      <c r="G390" s="1109">
        <v>4000</v>
      </c>
      <c r="H390" s="1109">
        <v>4000</v>
      </c>
      <c r="I390" s="1110"/>
      <c r="J390" s="1111"/>
    </row>
    <row r="391" spans="1:14" x14ac:dyDescent="0.35">
      <c r="A391" s="1112"/>
      <c r="B391" s="1113"/>
      <c r="C391" s="1113"/>
      <c r="D391" s="1113"/>
      <c r="E391" s="1547" t="s">
        <v>1144</v>
      </c>
      <c r="F391" s="1547"/>
      <c r="G391" s="1547"/>
      <c r="H391" s="1114">
        <f>SUM(H266:H390)</f>
        <v>385249</v>
      </c>
      <c r="I391" s="1115"/>
      <c r="J391" s="1116"/>
      <c r="L391" s="1548" t="s">
        <v>1145</v>
      </c>
      <c r="M391" s="1548"/>
      <c r="N391" s="1078">
        <v>8560000</v>
      </c>
    </row>
  </sheetData>
  <autoFilter ref="A3:J133" xr:uid="{00000000-0009-0000-0000-00000C000000}"/>
  <mergeCells count="10">
    <mergeCell ref="A264:J264"/>
    <mergeCell ref="E391:G391"/>
    <mergeCell ref="L391:M391"/>
    <mergeCell ref="A1:J1"/>
    <mergeCell ref="L5:N5"/>
    <mergeCell ref="L14:M14"/>
    <mergeCell ref="E133:G133"/>
    <mergeCell ref="A135:J135"/>
    <mergeCell ref="E262:G262"/>
    <mergeCell ref="L262:M262"/>
  </mergeCells>
  <pageMargins left="0.7" right="0.7" top="0.75" bottom="0.75" header="0.3" footer="0.3"/>
  <pageSetup paperSize="9" orientation="portrait" r:id="rId2"/>
  <customProperties>
    <customPr name="EpmWorksheetKeyString_GUID" r:id="rId3"/>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Y59"/>
  <sheetViews>
    <sheetView workbookViewId="0">
      <selection activeCell="N31" activeCellId="1" sqref="M34 N31"/>
    </sheetView>
  </sheetViews>
  <sheetFormatPr defaultColWidth="9.1796875" defaultRowHeight="14.5" x14ac:dyDescent="0.35"/>
  <cols>
    <col min="1" max="1" width="44.453125" style="53" customWidth="1"/>
    <col min="2" max="8" width="6.26953125" style="53" customWidth="1"/>
    <col min="9" max="9" width="5.453125" style="53" customWidth="1"/>
    <col min="10" max="10" width="5.453125" style="53" bestFit="1" customWidth="1"/>
    <col min="11" max="11" width="7.26953125" style="53" customWidth="1"/>
    <col min="12" max="12" width="9.26953125" style="53" customWidth="1"/>
    <col min="13" max="13" width="9.1796875" style="53"/>
    <col min="14" max="14" width="40.81640625" style="566" customWidth="1"/>
    <col min="15" max="21" width="6.81640625" style="566" customWidth="1"/>
    <col min="22" max="24" width="9.1796875" style="566"/>
    <col min="25" max="25" width="10.7265625" style="566" customWidth="1"/>
    <col min="26" max="16384" width="9.1796875" style="53"/>
  </cols>
  <sheetData>
    <row r="1" spans="1:25" x14ac:dyDescent="0.35">
      <c r="A1" s="53" t="s">
        <v>413</v>
      </c>
    </row>
    <row r="2" spans="1:25" ht="10.5" customHeight="1" thickBot="1" x14ac:dyDescent="0.4">
      <c r="A2" s="1553"/>
      <c r="B2" s="1553"/>
      <c r="C2" s="1553"/>
      <c r="D2" s="1553"/>
      <c r="E2" s="1553"/>
      <c r="F2" s="1553"/>
      <c r="G2" s="1553"/>
      <c r="H2" s="1553"/>
      <c r="I2" s="1553"/>
      <c r="J2" s="1553"/>
      <c r="K2" s="1553"/>
      <c r="L2" s="1553"/>
    </row>
    <row r="3" spans="1:25" ht="38.25" customHeight="1" x14ac:dyDescent="0.35">
      <c r="A3" s="1554" t="s">
        <v>108</v>
      </c>
      <c r="B3" s="1564" t="s">
        <v>347</v>
      </c>
      <c r="C3" s="1565"/>
      <c r="D3" s="1565"/>
      <c r="E3" s="1565"/>
      <c r="F3" s="1565"/>
      <c r="G3" s="1566"/>
      <c r="H3" s="739"/>
      <c r="I3" s="1556" t="s">
        <v>577</v>
      </c>
      <c r="J3" s="1557"/>
      <c r="K3" s="1558" t="s">
        <v>349</v>
      </c>
      <c r="L3" s="1558" t="s">
        <v>388</v>
      </c>
      <c r="N3" s="1560" t="s">
        <v>108</v>
      </c>
      <c r="O3" s="1562" t="s">
        <v>109</v>
      </c>
      <c r="P3" s="1563"/>
      <c r="Q3" s="1563"/>
      <c r="R3" s="1563"/>
      <c r="S3" s="725"/>
      <c r="T3" s="725"/>
      <c r="U3" s="740"/>
      <c r="V3" s="1551" t="s">
        <v>159</v>
      </c>
      <c r="W3" s="1551" t="s">
        <v>53</v>
      </c>
      <c r="X3" s="1551" t="s">
        <v>53</v>
      </c>
      <c r="Y3" s="1551" t="s">
        <v>54</v>
      </c>
    </row>
    <row r="4" spans="1:25" ht="48.75" customHeight="1" thickBot="1" x14ac:dyDescent="0.4">
      <c r="A4" s="1555"/>
      <c r="B4" s="318">
        <v>2014</v>
      </c>
      <c r="C4" s="318">
        <v>2015</v>
      </c>
      <c r="D4" s="318">
        <v>2016</v>
      </c>
      <c r="E4" s="318">
        <v>2017</v>
      </c>
      <c r="F4" s="318">
        <v>2018</v>
      </c>
      <c r="G4" s="318">
        <v>2019</v>
      </c>
      <c r="H4" s="318">
        <v>2020</v>
      </c>
      <c r="I4" s="319" t="s">
        <v>350</v>
      </c>
      <c r="J4" s="319" t="s">
        <v>351</v>
      </c>
      <c r="K4" s="1559"/>
      <c r="L4" s="1559"/>
      <c r="N4" s="1561"/>
      <c r="O4" s="591">
        <v>2014</v>
      </c>
      <c r="P4" s="592">
        <v>2015</v>
      </c>
      <c r="Q4" s="592">
        <v>2016</v>
      </c>
      <c r="R4" s="592">
        <v>2017</v>
      </c>
      <c r="S4" s="588">
        <v>2018</v>
      </c>
      <c r="T4" s="588">
        <v>2019</v>
      </c>
      <c r="U4" s="741">
        <v>2020</v>
      </c>
      <c r="V4" s="1552"/>
      <c r="W4" s="1552"/>
      <c r="X4" s="1552"/>
      <c r="Y4" s="1552"/>
    </row>
    <row r="5" spans="1:25" x14ac:dyDescent="0.35">
      <c r="A5" s="320" t="s">
        <v>55</v>
      </c>
      <c r="B5" s="321"/>
      <c r="C5" s="321"/>
      <c r="D5" s="321"/>
      <c r="E5" s="321"/>
      <c r="F5" s="321"/>
      <c r="G5" s="321"/>
      <c r="H5" s="321"/>
      <c r="I5" s="322"/>
      <c r="J5" s="322"/>
      <c r="K5" s="322"/>
      <c r="L5" s="322"/>
      <c r="N5" s="612" t="s">
        <v>55</v>
      </c>
      <c r="O5" s="613"/>
      <c r="P5" s="613"/>
      <c r="Q5" s="613"/>
      <c r="R5" s="613"/>
      <c r="S5" s="613"/>
      <c r="T5" s="613"/>
      <c r="U5" s="613"/>
      <c r="V5" s="613">
        <v>1</v>
      </c>
      <c r="W5" s="610"/>
      <c r="X5" s="610"/>
      <c r="Y5" s="610"/>
    </row>
    <row r="6" spans="1:25" x14ac:dyDescent="0.35">
      <c r="A6" s="630" t="s">
        <v>110</v>
      </c>
      <c r="B6" s="323" t="s">
        <v>352</v>
      </c>
      <c r="C6" s="323" t="s">
        <v>352</v>
      </c>
      <c r="D6" s="323"/>
      <c r="E6" s="323"/>
      <c r="F6" s="323"/>
      <c r="G6" s="323"/>
      <c r="H6" s="323"/>
      <c r="I6" s="323">
        <v>30.9</v>
      </c>
      <c r="J6" s="323">
        <v>37.700000000000003</v>
      </c>
      <c r="K6" s="323">
        <v>6.8000000000000043</v>
      </c>
      <c r="L6" s="323">
        <v>10067</v>
      </c>
      <c r="N6" s="593" t="s">
        <v>110</v>
      </c>
      <c r="O6" s="628">
        <v>1</v>
      </c>
      <c r="P6" s="628">
        <v>1.8</v>
      </c>
      <c r="Q6" s="594"/>
      <c r="R6" s="594"/>
      <c r="S6" s="594"/>
      <c r="T6" s="594"/>
      <c r="U6" s="594"/>
      <c r="V6" s="594">
        <v>1</v>
      </c>
      <c r="W6" s="626">
        <v>30.9</v>
      </c>
      <c r="X6" s="626">
        <v>37.700000000000003</v>
      </c>
      <c r="Y6" s="595">
        <v>6.8000000000000043</v>
      </c>
    </row>
    <row r="7" spans="1:25" x14ac:dyDescent="0.35">
      <c r="A7" s="630" t="s">
        <v>111</v>
      </c>
      <c r="C7" s="323" t="s">
        <v>352</v>
      </c>
      <c r="D7" s="323"/>
      <c r="E7" s="323"/>
      <c r="F7" s="323"/>
      <c r="G7" s="323"/>
      <c r="H7" s="323"/>
      <c r="I7" s="323">
        <v>50.3</v>
      </c>
      <c r="J7" s="323">
        <v>56.3</v>
      </c>
      <c r="K7" s="323">
        <v>6</v>
      </c>
      <c r="L7" s="323">
        <v>6733</v>
      </c>
      <c r="N7" s="593" t="s">
        <v>111</v>
      </c>
      <c r="O7" s="628"/>
      <c r="P7" s="628">
        <v>2.83</v>
      </c>
      <c r="Q7" s="594"/>
      <c r="R7" s="594"/>
      <c r="S7" s="594"/>
      <c r="T7" s="594"/>
      <c r="U7" s="594"/>
      <c r="V7" s="594">
        <v>1</v>
      </c>
      <c r="W7" s="626">
        <v>50.3</v>
      </c>
      <c r="X7" s="626">
        <v>56.3</v>
      </c>
      <c r="Y7" s="595">
        <v>6</v>
      </c>
    </row>
    <row r="8" spans="1:25" x14ac:dyDescent="0.35">
      <c r="A8" s="630" t="s">
        <v>353</v>
      </c>
      <c r="B8" s="323" t="s">
        <v>352</v>
      </c>
      <c r="C8" s="323"/>
      <c r="D8" s="323"/>
      <c r="E8" s="323"/>
      <c r="F8" s="323"/>
      <c r="G8" s="323"/>
      <c r="H8" s="323"/>
      <c r="I8" s="323">
        <v>61.8</v>
      </c>
      <c r="J8" s="323">
        <v>65</v>
      </c>
      <c r="K8" s="323">
        <v>3.2000000000000028</v>
      </c>
      <c r="L8" s="323">
        <v>6733</v>
      </c>
      <c r="N8" s="593" t="s">
        <v>112</v>
      </c>
      <c r="O8" s="628">
        <v>1</v>
      </c>
      <c r="P8" s="628"/>
      <c r="Q8" s="594"/>
      <c r="R8" s="594"/>
      <c r="S8" s="594"/>
      <c r="T8" s="594"/>
      <c r="U8" s="594"/>
      <c r="V8" s="594">
        <v>1</v>
      </c>
      <c r="W8" s="626">
        <v>61.8</v>
      </c>
      <c r="X8" s="626">
        <v>65</v>
      </c>
      <c r="Y8" s="595">
        <v>3.2000000000000028</v>
      </c>
    </row>
    <row r="9" spans="1:25" x14ac:dyDescent="0.35">
      <c r="A9" s="320" t="s">
        <v>64</v>
      </c>
      <c r="B9" s="324"/>
      <c r="C9" s="324"/>
      <c r="D9" s="324"/>
      <c r="E9" s="324"/>
      <c r="F9" s="324"/>
      <c r="G9" s="324"/>
      <c r="H9" s="324"/>
      <c r="I9" s="325"/>
      <c r="J9" s="325"/>
      <c r="K9" s="325"/>
      <c r="L9" s="325"/>
      <c r="N9" s="614" t="s">
        <v>64</v>
      </c>
      <c r="O9" s="601"/>
      <c r="P9" s="601"/>
      <c r="Q9" s="615"/>
      <c r="R9" s="615"/>
      <c r="S9" s="615"/>
      <c r="T9" s="615"/>
      <c r="U9" s="615"/>
      <c r="V9" s="615">
        <v>2</v>
      </c>
      <c r="W9" s="596"/>
      <c r="X9" s="596"/>
      <c r="Y9" s="596"/>
    </row>
    <row r="10" spans="1:25" ht="26.5" x14ac:dyDescent="0.35">
      <c r="A10" s="326" t="s">
        <v>128</v>
      </c>
      <c r="B10" s="327"/>
      <c r="C10" s="327" t="s">
        <v>352</v>
      </c>
      <c r="D10" s="327" t="s">
        <v>352</v>
      </c>
      <c r="E10" s="327"/>
      <c r="F10" s="327"/>
      <c r="G10" s="327"/>
      <c r="H10" s="327"/>
      <c r="I10" s="327">
        <v>5.5</v>
      </c>
      <c r="J10" s="327">
        <v>12.6</v>
      </c>
      <c r="K10" s="327">
        <v>7.1</v>
      </c>
      <c r="L10" s="743" t="s">
        <v>579</v>
      </c>
      <c r="N10" s="629" t="s">
        <v>128</v>
      </c>
      <c r="O10" s="628"/>
      <c r="P10" s="628">
        <v>4</v>
      </c>
      <c r="Q10" s="616">
        <v>4.32</v>
      </c>
      <c r="R10" s="616"/>
      <c r="S10" s="616"/>
      <c r="T10" s="616"/>
      <c r="U10" s="616"/>
      <c r="V10" s="616">
        <v>2</v>
      </c>
      <c r="W10" s="595">
        <v>5.5</v>
      </c>
      <c r="X10" s="626">
        <v>12.6</v>
      </c>
      <c r="Y10" s="595">
        <v>7.1</v>
      </c>
    </row>
    <row r="11" spans="1:25" x14ac:dyDescent="0.35">
      <c r="A11" s="326" t="s">
        <v>354</v>
      </c>
      <c r="B11" s="327"/>
      <c r="C11" s="327"/>
      <c r="D11" s="327"/>
      <c r="E11" s="327"/>
      <c r="F11" s="327"/>
      <c r="G11" s="327" t="s">
        <v>352</v>
      </c>
      <c r="H11" s="327" t="s">
        <v>352</v>
      </c>
      <c r="I11" s="327">
        <v>12.6</v>
      </c>
      <c r="J11" s="327">
        <v>20</v>
      </c>
      <c r="K11" s="327">
        <v>7.4</v>
      </c>
      <c r="L11" s="327"/>
      <c r="N11" s="629" t="s">
        <v>561</v>
      </c>
      <c r="O11" s="628"/>
      <c r="P11" s="628"/>
      <c r="Q11" s="616"/>
      <c r="R11" s="616"/>
      <c r="S11" s="616"/>
      <c r="T11" s="616">
        <v>10</v>
      </c>
      <c r="U11" s="616">
        <v>3.8759999999999999</v>
      </c>
      <c r="V11" s="616">
        <v>2</v>
      </c>
      <c r="W11" s="595">
        <v>12.6</v>
      </c>
      <c r="X11" s="626">
        <v>20</v>
      </c>
      <c r="Y11" s="595">
        <v>7.4</v>
      </c>
    </row>
    <row r="12" spans="1:25" x14ac:dyDescent="0.35">
      <c r="A12" s="320" t="s">
        <v>76</v>
      </c>
      <c r="B12" s="324"/>
      <c r="C12" s="324"/>
      <c r="D12" s="324"/>
      <c r="E12" s="324"/>
      <c r="F12" s="324"/>
      <c r="G12" s="324"/>
      <c r="H12" s="324"/>
      <c r="I12" s="328"/>
      <c r="J12" s="328"/>
      <c r="K12" s="328"/>
      <c r="L12" s="328"/>
      <c r="N12" s="614" t="s">
        <v>76</v>
      </c>
      <c r="O12" s="601"/>
      <c r="P12" s="601"/>
      <c r="Q12" s="615"/>
      <c r="R12" s="615"/>
      <c r="S12" s="615"/>
      <c r="T12" s="615"/>
      <c r="U12" s="615"/>
      <c r="V12" s="615">
        <v>3</v>
      </c>
      <c r="W12" s="597"/>
      <c r="X12" s="597"/>
      <c r="Y12" s="597"/>
    </row>
    <row r="13" spans="1:25" x14ac:dyDescent="0.35">
      <c r="A13" s="630" t="s">
        <v>355</v>
      </c>
      <c r="B13" s="323"/>
      <c r="C13" s="323" t="s">
        <v>352</v>
      </c>
      <c r="D13" s="323" t="s">
        <v>352</v>
      </c>
      <c r="E13" s="323"/>
      <c r="F13" s="323"/>
      <c r="G13" s="323"/>
      <c r="H13" s="323"/>
      <c r="I13" s="323">
        <v>3.5</v>
      </c>
      <c r="J13" s="323">
        <v>8.3000000000000007</v>
      </c>
      <c r="K13" s="323">
        <v>4.8</v>
      </c>
      <c r="L13" s="323" t="s">
        <v>390</v>
      </c>
      <c r="N13" s="593" t="s">
        <v>113</v>
      </c>
      <c r="O13" s="628"/>
      <c r="P13" s="599">
        <v>0.5</v>
      </c>
      <c r="Q13" s="627">
        <v>1.88</v>
      </c>
      <c r="R13" s="627"/>
      <c r="S13" s="627"/>
      <c r="T13" s="627"/>
      <c r="U13" s="627"/>
      <c r="V13" s="627">
        <v>3</v>
      </c>
      <c r="W13" s="595">
        <v>3.5</v>
      </c>
      <c r="X13" s="595">
        <v>8.3000000000000007</v>
      </c>
      <c r="Y13" s="595">
        <v>4.8000000000000007</v>
      </c>
    </row>
    <row r="14" spans="1:25" x14ac:dyDescent="0.35">
      <c r="A14" s="630" t="s">
        <v>156</v>
      </c>
      <c r="B14" s="323" t="s">
        <v>352</v>
      </c>
      <c r="C14" s="323"/>
      <c r="D14" s="323"/>
      <c r="E14" s="323"/>
      <c r="F14" s="323"/>
      <c r="G14" s="323"/>
      <c r="H14" s="323"/>
      <c r="I14" s="323">
        <v>61.2</v>
      </c>
      <c r="J14" s="323">
        <v>67.099999999999994</v>
      </c>
      <c r="K14" s="323">
        <v>5.8999999999999915</v>
      </c>
      <c r="L14" s="323">
        <v>1917</v>
      </c>
      <c r="N14" s="593" t="s">
        <v>156</v>
      </c>
      <c r="O14" s="628">
        <v>1.55</v>
      </c>
      <c r="P14" s="628"/>
      <c r="Q14" s="598"/>
      <c r="R14" s="598"/>
      <c r="S14" s="598"/>
      <c r="T14" s="598"/>
      <c r="U14" s="598"/>
      <c r="V14" s="598">
        <v>3</v>
      </c>
      <c r="W14" s="595">
        <v>61.2</v>
      </c>
      <c r="X14" s="595">
        <v>67.099999999999994</v>
      </c>
      <c r="Y14" s="595">
        <v>5.8999999999999915</v>
      </c>
    </row>
    <row r="15" spans="1:25" x14ac:dyDescent="0.35">
      <c r="A15" s="630" t="s">
        <v>356</v>
      </c>
      <c r="B15" s="323"/>
      <c r="C15" s="323" t="s">
        <v>352</v>
      </c>
      <c r="D15" s="323"/>
      <c r="E15" s="323"/>
      <c r="F15" s="323"/>
      <c r="G15" s="323"/>
      <c r="H15" s="323"/>
      <c r="I15" s="323">
        <v>146</v>
      </c>
      <c r="J15" s="323">
        <v>159.19999999999999</v>
      </c>
      <c r="K15" s="323">
        <v>13.2</v>
      </c>
      <c r="L15" s="323" t="s">
        <v>391</v>
      </c>
      <c r="N15" s="593" t="s">
        <v>114</v>
      </c>
      <c r="O15" s="599"/>
      <c r="P15" s="617">
        <v>5.03</v>
      </c>
      <c r="Q15" s="627"/>
      <c r="R15" s="627"/>
      <c r="S15" s="627"/>
      <c r="T15" s="627"/>
      <c r="U15" s="627"/>
      <c r="V15" s="627">
        <v>3</v>
      </c>
      <c r="W15" s="626">
        <v>146</v>
      </c>
      <c r="X15" s="626">
        <v>159.19999999999999</v>
      </c>
      <c r="Y15" s="595">
        <v>13.199999999999989</v>
      </c>
    </row>
    <row r="16" spans="1:25" x14ac:dyDescent="0.35">
      <c r="A16" s="630" t="s">
        <v>115</v>
      </c>
      <c r="B16" s="323"/>
      <c r="C16" s="323"/>
      <c r="D16" s="323" t="s">
        <v>352</v>
      </c>
      <c r="E16" s="323"/>
      <c r="F16" s="323"/>
      <c r="G16" s="323"/>
      <c r="H16" s="323"/>
      <c r="I16" s="323">
        <v>67.099999999999994</v>
      </c>
      <c r="J16" s="323">
        <v>75.3</v>
      </c>
      <c r="K16" s="323">
        <v>8.2000000000000028</v>
      </c>
      <c r="L16" s="323" t="s">
        <v>392</v>
      </c>
      <c r="N16" s="593" t="s">
        <v>115</v>
      </c>
      <c r="O16" s="618"/>
      <c r="P16" s="611"/>
      <c r="Q16" s="598">
        <v>2.88</v>
      </c>
      <c r="R16" s="598"/>
      <c r="S16" s="598"/>
      <c r="T16" s="598"/>
      <c r="U16" s="598"/>
      <c r="V16" s="598">
        <v>3</v>
      </c>
      <c r="W16" s="595">
        <v>67.099999999999994</v>
      </c>
      <c r="X16" s="595">
        <v>75.3</v>
      </c>
      <c r="Y16" s="595">
        <v>8.2000000000000028</v>
      </c>
    </row>
    <row r="17" spans="1:25" x14ac:dyDescent="0.35">
      <c r="A17" s="630" t="s">
        <v>116</v>
      </c>
      <c r="B17" s="323"/>
      <c r="C17" s="323" t="s">
        <v>352</v>
      </c>
      <c r="D17" s="323"/>
      <c r="E17" s="323"/>
      <c r="F17" s="323"/>
      <c r="G17" s="323"/>
      <c r="H17" s="323"/>
      <c r="I17" s="323">
        <v>109.6</v>
      </c>
      <c r="J17" s="323">
        <v>118.9</v>
      </c>
      <c r="K17" s="323">
        <v>9.3000000000000114</v>
      </c>
      <c r="L17" s="323">
        <v>2679</v>
      </c>
      <c r="N17" s="593" t="s">
        <v>116</v>
      </c>
      <c r="O17" s="599"/>
      <c r="P17" s="611">
        <v>2.62</v>
      </c>
      <c r="Q17" s="594"/>
      <c r="R17" s="594"/>
      <c r="S17" s="594"/>
      <c r="T17" s="594"/>
      <c r="U17" s="594"/>
      <c r="V17" s="594">
        <v>3</v>
      </c>
      <c r="W17" s="595">
        <v>109.6</v>
      </c>
      <c r="X17" s="595">
        <v>118.9</v>
      </c>
      <c r="Y17" s="595">
        <v>9.3000000000000114</v>
      </c>
    </row>
    <row r="18" spans="1:25" x14ac:dyDescent="0.35">
      <c r="A18" s="320" t="s">
        <v>77</v>
      </c>
      <c r="B18" s="324"/>
      <c r="C18" s="324"/>
      <c r="D18" s="324"/>
      <c r="E18" s="324"/>
      <c r="F18" s="324"/>
      <c r="G18" s="324"/>
      <c r="H18" s="324"/>
      <c r="I18" s="325"/>
      <c r="J18" s="325"/>
      <c r="K18" s="325"/>
      <c r="L18" s="329"/>
      <c r="N18" s="320" t="s">
        <v>77</v>
      </c>
      <c r="O18" s="324"/>
      <c r="P18" s="324"/>
      <c r="Q18" s="324"/>
      <c r="R18" s="324"/>
      <c r="S18" s="324"/>
      <c r="T18" s="324"/>
      <c r="U18" s="324"/>
      <c r="V18" s="325"/>
      <c r="W18" s="325"/>
      <c r="X18" s="325"/>
      <c r="Y18" s="325"/>
    </row>
    <row r="19" spans="1:25" x14ac:dyDescent="0.35">
      <c r="A19" s="511" t="s">
        <v>570</v>
      </c>
      <c r="B19" s="511"/>
      <c r="C19" s="511"/>
      <c r="D19" s="469" t="s">
        <v>352</v>
      </c>
      <c r="E19" s="511"/>
      <c r="F19" s="511"/>
      <c r="G19" s="511"/>
      <c r="H19" s="511"/>
      <c r="I19" s="626">
        <v>39.299999999999997</v>
      </c>
      <c r="J19" s="626">
        <v>40.018000000000001</v>
      </c>
      <c r="K19" s="626">
        <v>0.71799999999999997</v>
      </c>
      <c r="L19" s="742"/>
      <c r="N19" s="593" t="s">
        <v>571</v>
      </c>
      <c r="O19" s="599"/>
      <c r="P19" s="611"/>
      <c r="Q19" s="726">
        <v>0.43</v>
      </c>
      <c r="R19" s="594"/>
      <c r="S19" s="594"/>
      <c r="T19" s="594"/>
      <c r="U19" s="594"/>
      <c r="V19" s="594">
        <v>4</v>
      </c>
      <c r="W19" s="626">
        <v>39.299999999999997</v>
      </c>
      <c r="X19" s="626">
        <v>40.018000000000001</v>
      </c>
      <c r="Y19" s="626">
        <v>0.71799999999999997</v>
      </c>
    </row>
    <row r="20" spans="1:25" x14ac:dyDescent="0.35">
      <c r="A20" s="320" t="s">
        <v>87</v>
      </c>
      <c r="B20" s="324"/>
      <c r="C20" s="324"/>
      <c r="D20" s="324"/>
      <c r="E20" s="324"/>
      <c r="F20" s="324"/>
      <c r="G20" s="324"/>
      <c r="H20" s="324"/>
      <c r="I20" s="325"/>
      <c r="J20" s="325"/>
      <c r="K20" s="325"/>
      <c r="L20" s="325"/>
      <c r="N20" s="612" t="s">
        <v>87</v>
      </c>
      <c r="O20" s="727"/>
      <c r="P20" s="727"/>
      <c r="Q20" s="728"/>
      <c r="R20" s="728"/>
      <c r="S20" s="728"/>
      <c r="T20" s="728"/>
      <c r="U20" s="728"/>
      <c r="V20" s="728">
        <v>5</v>
      </c>
      <c r="W20" s="729"/>
      <c r="X20" s="729"/>
      <c r="Y20" s="729"/>
    </row>
    <row r="21" spans="1:25" x14ac:dyDescent="0.35">
      <c r="A21" s="630" t="s">
        <v>566</v>
      </c>
      <c r="B21" s="323"/>
      <c r="C21" s="323"/>
      <c r="D21" s="323"/>
      <c r="E21" s="323" t="s">
        <v>352</v>
      </c>
      <c r="F21" s="323" t="s">
        <v>352</v>
      </c>
      <c r="G21" s="323"/>
      <c r="H21" s="323"/>
      <c r="I21" s="640">
        <f>W21</f>
        <v>16.2</v>
      </c>
      <c r="J21" s="640">
        <f>X21</f>
        <v>28.231000000000002</v>
      </c>
      <c r="K21" s="640">
        <f>Y21</f>
        <v>12.11</v>
      </c>
      <c r="L21" s="323">
        <v>2079</v>
      </c>
      <c r="N21" s="625" t="s">
        <v>560</v>
      </c>
      <c r="O21" s="628"/>
      <c r="P21" s="628"/>
      <c r="Q21" s="627"/>
      <c r="R21" s="627">
        <v>1</v>
      </c>
      <c r="S21" s="628">
        <v>3.66</v>
      </c>
      <c r="T21" s="627"/>
      <c r="U21" s="627"/>
      <c r="V21" s="627">
        <v>5</v>
      </c>
      <c r="W21" s="626">
        <v>16.2</v>
      </c>
      <c r="X21" s="626">
        <v>28.231000000000002</v>
      </c>
      <c r="Y21" s="626">
        <v>12.11</v>
      </c>
    </row>
    <row r="22" spans="1:25" x14ac:dyDescent="0.35">
      <c r="A22" s="630" t="s">
        <v>117</v>
      </c>
      <c r="B22" s="323"/>
      <c r="C22" s="323"/>
      <c r="D22" s="323" t="s">
        <v>352</v>
      </c>
      <c r="E22" s="323"/>
      <c r="F22" s="323"/>
      <c r="G22" s="323"/>
      <c r="H22" s="323"/>
      <c r="I22" s="323">
        <v>28.2</v>
      </c>
      <c r="J22" s="323">
        <v>35.799999999999997</v>
      </c>
      <c r="K22" s="323">
        <v>7.5999999999999979</v>
      </c>
      <c r="L22" s="323">
        <v>1181</v>
      </c>
      <c r="N22" s="593" t="s">
        <v>117</v>
      </c>
      <c r="O22" s="628"/>
      <c r="P22" s="628"/>
      <c r="Q22" s="627">
        <v>2.2999999999999998</v>
      </c>
      <c r="R22" s="627"/>
      <c r="S22" s="627"/>
      <c r="T22" s="627"/>
      <c r="U22" s="627"/>
      <c r="V22" s="627">
        <v>5</v>
      </c>
      <c r="W22" s="595">
        <v>28.2</v>
      </c>
      <c r="X22" s="595">
        <v>35.799999999999997</v>
      </c>
      <c r="Y22" s="595">
        <v>7.5999999999999979</v>
      </c>
    </row>
    <row r="23" spans="1:25" x14ac:dyDescent="0.35">
      <c r="A23" s="630" t="s">
        <v>118</v>
      </c>
      <c r="B23" s="323"/>
      <c r="C23" s="323" t="s">
        <v>352</v>
      </c>
      <c r="D23" s="323"/>
      <c r="E23" s="323"/>
      <c r="F23" s="323"/>
      <c r="G23" s="323"/>
      <c r="H23" s="323"/>
      <c r="I23" s="323">
        <v>48.5</v>
      </c>
      <c r="J23" s="323">
        <v>61.7</v>
      </c>
      <c r="K23" s="323">
        <v>13.200000000000003</v>
      </c>
      <c r="L23" s="323">
        <v>5634</v>
      </c>
      <c r="N23" s="593" t="s">
        <v>118</v>
      </c>
      <c r="O23" s="628"/>
      <c r="P23" s="628">
        <v>3.63</v>
      </c>
      <c r="Q23" s="619"/>
      <c r="R23" s="619"/>
      <c r="S23" s="619"/>
      <c r="T23" s="619"/>
      <c r="U23" s="619"/>
      <c r="V23" s="622">
        <v>5</v>
      </c>
      <c r="W23" s="595">
        <v>48.5</v>
      </c>
      <c r="X23" s="595">
        <v>61.7</v>
      </c>
      <c r="Y23" s="595">
        <v>13.200000000000003</v>
      </c>
    </row>
    <row r="24" spans="1:25" x14ac:dyDescent="0.35">
      <c r="A24" s="630" t="s">
        <v>119</v>
      </c>
      <c r="B24" s="323"/>
      <c r="C24" s="323"/>
      <c r="D24" s="323"/>
      <c r="E24" s="323" t="s">
        <v>352</v>
      </c>
      <c r="F24" s="323"/>
      <c r="G24" s="323"/>
      <c r="H24" s="323"/>
      <c r="I24" s="323">
        <v>87.8</v>
      </c>
      <c r="J24" s="323">
        <v>94.1</v>
      </c>
      <c r="K24" s="323">
        <v>6.2999999999999972</v>
      </c>
      <c r="L24" s="323">
        <v>1279</v>
      </c>
      <c r="N24" s="593" t="s">
        <v>119</v>
      </c>
      <c r="O24" s="628"/>
      <c r="P24" s="600"/>
      <c r="R24" s="624">
        <v>3.1499999999999986</v>
      </c>
      <c r="S24" s="619"/>
      <c r="T24" s="619"/>
      <c r="U24" s="619"/>
      <c r="V24" s="622">
        <v>5</v>
      </c>
      <c r="W24" s="595">
        <v>87.8</v>
      </c>
      <c r="X24" s="595">
        <v>94.1</v>
      </c>
      <c r="Y24" s="595">
        <v>6.2999999999999972</v>
      </c>
    </row>
    <row r="25" spans="1:25" ht="15.5" x14ac:dyDescent="0.35">
      <c r="A25" s="630" t="s">
        <v>120</v>
      </c>
      <c r="B25" s="323" t="s">
        <v>352</v>
      </c>
      <c r="C25" s="323" t="s">
        <v>352</v>
      </c>
      <c r="D25" s="323"/>
      <c r="E25" s="323"/>
      <c r="F25" s="323"/>
      <c r="G25" s="323"/>
      <c r="H25" s="323"/>
      <c r="I25" s="323">
        <v>110.8</v>
      </c>
      <c r="J25" s="323">
        <v>120.7</v>
      </c>
      <c r="K25" s="323">
        <v>9.9000000000000057</v>
      </c>
      <c r="L25" s="330" t="s">
        <v>357</v>
      </c>
      <c r="N25" s="593" t="s">
        <v>120</v>
      </c>
      <c r="O25" s="599">
        <v>0.3</v>
      </c>
      <c r="P25" s="600">
        <v>2.2999999999999998</v>
      </c>
      <c r="Q25" s="627"/>
      <c r="R25" s="627"/>
      <c r="S25" s="627"/>
      <c r="T25" s="627"/>
      <c r="U25" s="627"/>
      <c r="V25" s="627">
        <v>5</v>
      </c>
      <c r="W25" s="595">
        <v>110.8</v>
      </c>
      <c r="X25" s="595">
        <v>120.7</v>
      </c>
      <c r="Y25" s="595">
        <v>9.9000000000000057</v>
      </c>
    </row>
    <row r="26" spans="1:25" ht="15.5" x14ac:dyDescent="0.35">
      <c r="A26" s="320" t="s">
        <v>576</v>
      </c>
      <c r="B26" s="324"/>
      <c r="C26" s="324"/>
      <c r="D26" s="324"/>
      <c r="E26" s="324"/>
      <c r="F26" s="324"/>
      <c r="G26" s="324"/>
      <c r="H26" s="324"/>
      <c r="I26" s="325"/>
      <c r="J26" s="325"/>
      <c r="K26" s="325"/>
      <c r="L26" s="330"/>
      <c r="N26" s="320" t="s">
        <v>578</v>
      </c>
      <c r="O26" s="324"/>
      <c r="P26" s="324"/>
      <c r="Q26" s="324"/>
      <c r="R26" s="324"/>
      <c r="S26" s="324"/>
      <c r="T26" s="324"/>
      <c r="U26" s="324"/>
      <c r="V26" s="732">
        <v>7</v>
      </c>
      <c r="W26" s="733"/>
      <c r="X26" s="733"/>
      <c r="Y26" s="733"/>
    </row>
    <row r="27" spans="1:25" ht="15.5" x14ac:dyDescent="0.35">
      <c r="A27" s="730"/>
      <c r="B27" s="511"/>
      <c r="C27" s="511"/>
      <c r="D27" s="511"/>
      <c r="E27" s="469" t="s">
        <v>352</v>
      </c>
      <c r="F27" s="511"/>
      <c r="G27" s="511"/>
      <c r="H27" s="511"/>
      <c r="I27" s="731">
        <v>195.565</v>
      </c>
      <c r="J27" s="731">
        <v>209.18799999999999</v>
      </c>
      <c r="K27" s="731">
        <v>13.62299999999999</v>
      </c>
      <c r="L27" s="330"/>
      <c r="N27" s="203"/>
      <c r="O27" s="203"/>
      <c r="P27" s="203"/>
      <c r="Q27" s="203"/>
      <c r="R27" s="203">
        <v>3.3</v>
      </c>
      <c r="S27" s="203"/>
      <c r="T27" s="203"/>
      <c r="U27" s="203"/>
      <c r="V27" s="734">
        <v>7</v>
      </c>
      <c r="W27" s="735">
        <v>195.565</v>
      </c>
      <c r="X27" s="735">
        <v>209.18799999999999</v>
      </c>
      <c r="Y27" s="735">
        <v>13.62299999999999</v>
      </c>
    </row>
    <row r="28" spans="1:25" ht="15.5" x14ac:dyDescent="0.35">
      <c r="A28" s="730"/>
      <c r="B28" s="511"/>
      <c r="C28" s="511"/>
      <c r="D28" s="511"/>
      <c r="E28" s="511"/>
      <c r="F28" s="511"/>
      <c r="G28" s="469" t="s">
        <v>352</v>
      </c>
      <c r="H28" s="469"/>
      <c r="I28" s="731">
        <v>209.18799999999999</v>
      </c>
      <c r="J28" s="731">
        <v>216.91800000000001</v>
      </c>
      <c r="K28" s="731">
        <v>7.7300000000000182</v>
      </c>
      <c r="L28" s="330"/>
      <c r="N28" s="203"/>
      <c r="O28" s="203"/>
      <c r="P28" s="203"/>
      <c r="Q28" s="203"/>
      <c r="R28" s="203"/>
      <c r="S28" s="203"/>
      <c r="T28" s="203">
        <v>2.7</v>
      </c>
      <c r="U28" s="203"/>
      <c r="V28" s="734">
        <v>7</v>
      </c>
      <c r="W28" s="735">
        <v>209.18799999999999</v>
      </c>
      <c r="X28" s="735">
        <v>216.91800000000001</v>
      </c>
      <c r="Y28" s="735">
        <v>7.7300000000000182</v>
      </c>
    </row>
    <row r="29" spans="1:25" x14ac:dyDescent="0.35">
      <c r="A29" s="320" t="s">
        <v>90</v>
      </c>
      <c r="B29" s="324"/>
      <c r="C29" s="324"/>
      <c r="D29" s="324"/>
      <c r="E29" s="324"/>
      <c r="F29" s="324"/>
      <c r="G29" s="324"/>
      <c r="H29" s="324"/>
      <c r="I29" s="325"/>
      <c r="J29" s="325"/>
      <c r="K29" s="325"/>
      <c r="L29" s="325"/>
      <c r="N29" s="614" t="s">
        <v>90</v>
      </c>
      <c r="O29" s="601"/>
      <c r="P29" s="601"/>
      <c r="Q29" s="615"/>
      <c r="R29" s="615"/>
      <c r="S29" s="615"/>
      <c r="T29" s="615"/>
      <c r="U29" s="615"/>
      <c r="V29" s="615">
        <v>8</v>
      </c>
      <c r="W29" s="596"/>
      <c r="X29" s="596"/>
      <c r="Y29" s="596"/>
    </row>
    <row r="30" spans="1:25" ht="26.5" x14ac:dyDescent="0.35">
      <c r="A30" s="630" t="s">
        <v>121</v>
      </c>
      <c r="B30" s="323" t="s">
        <v>352</v>
      </c>
      <c r="C30" s="323" t="s">
        <v>352</v>
      </c>
      <c r="D30" s="323"/>
      <c r="E30" s="323"/>
      <c r="F30" s="323"/>
      <c r="G30" s="323"/>
      <c r="H30" s="323"/>
      <c r="I30" s="323">
        <v>29.4</v>
      </c>
      <c r="J30" s="323">
        <v>46.8</v>
      </c>
      <c r="K30" s="323">
        <v>17.399999999999999</v>
      </c>
      <c r="L30" s="323" t="s">
        <v>393</v>
      </c>
      <c r="N30" s="593" t="s">
        <v>121</v>
      </c>
      <c r="O30" s="602">
        <v>1.5</v>
      </c>
      <c r="P30" s="602">
        <v>1.17</v>
      </c>
      <c r="Q30" s="603"/>
      <c r="R30" s="603"/>
      <c r="S30" s="603"/>
      <c r="T30" s="603"/>
      <c r="U30" s="603"/>
      <c r="V30" s="603">
        <v>8</v>
      </c>
      <c r="W30" s="595">
        <v>29.4</v>
      </c>
      <c r="X30" s="595">
        <v>37.4</v>
      </c>
      <c r="Y30" s="595">
        <v>8</v>
      </c>
    </row>
    <row r="31" spans="1:25" ht="14.25" customHeight="1" x14ac:dyDescent="0.35">
      <c r="A31" s="630" t="s">
        <v>358</v>
      </c>
      <c r="B31" s="323" t="s">
        <v>352</v>
      </c>
      <c r="C31" s="323"/>
      <c r="D31" s="323"/>
      <c r="E31" s="323"/>
      <c r="F31" s="323"/>
      <c r="G31" s="323"/>
      <c r="H31" s="323"/>
      <c r="I31" s="323">
        <v>18</v>
      </c>
      <c r="J31" s="323">
        <v>25.1</v>
      </c>
      <c r="K31" s="323">
        <v>7.1000000000000014</v>
      </c>
      <c r="L31" s="323">
        <v>8920</v>
      </c>
      <c r="N31" s="593" t="s">
        <v>121</v>
      </c>
      <c r="O31" s="602">
        <v>0.5</v>
      </c>
      <c r="P31" s="602">
        <v>2.31</v>
      </c>
      <c r="Q31" s="603"/>
      <c r="R31" s="603"/>
      <c r="S31" s="603"/>
      <c r="T31" s="603"/>
      <c r="U31" s="603"/>
      <c r="V31" s="603">
        <v>8</v>
      </c>
      <c r="W31" s="595">
        <v>37.4</v>
      </c>
      <c r="X31" s="595">
        <v>46.8</v>
      </c>
      <c r="Y31" s="595">
        <v>9.3999999999999986</v>
      </c>
    </row>
    <row r="32" spans="1:25" x14ac:dyDescent="0.35">
      <c r="A32" s="320" t="s">
        <v>92</v>
      </c>
      <c r="B32" s="324"/>
      <c r="C32" s="324"/>
      <c r="D32" s="324"/>
      <c r="E32" s="324"/>
      <c r="F32" s="324"/>
      <c r="G32" s="324"/>
      <c r="H32" s="324"/>
      <c r="I32" s="325"/>
      <c r="J32" s="325"/>
      <c r="K32" s="325"/>
      <c r="L32" s="325"/>
      <c r="N32" s="593" t="s">
        <v>122</v>
      </c>
      <c r="O32" s="602">
        <v>2.4300000000000002</v>
      </c>
      <c r="P32" s="599"/>
      <c r="Q32" s="603"/>
      <c r="R32" s="603"/>
      <c r="S32" s="603"/>
      <c r="T32" s="603"/>
      <c r="U32" s="603"/>
      <c r="V32" s="603">
        <v>8</v>
      </c>
      <c r="W32" s="595">
        <v>18</v>
      </c>
      <c r="X32" s="595">
        <v>25.1</v>
      </c>
      <c r="Y32" s="595">
        <v>7.1000000000000014</v>
      </c>
    </row>
    <row r="33" spans="1:25" x14ac:dyDescent="0.35">
      <c r="A33" s="630" t="s">
        <v>123</v>
      </c>
      <c r="B33" s="323"/>
      <c r="C33" s="323" t="s">
        <v>352</v>
      </c>
      <c r="D33" s="323"/>
      <c r="E33" s="323"/>
      <c r="F33" s="323"/>
      <c r="G33" s="323"/>
      <c r="H33" s="323"/>
      <c r="I33" s="323">
        <v>0</v>
      </c>
      <c r="J33" s="323">
        <v>18.3</v>
      </c>
      <c r="K33" s="323">
        <v>18.3</v>
      </c>
      <c r="L33" s="323" t="s">
        <v>394</v>
      </c>
      <c r="N33" s="614" t="s">
        <v>92</v>
      </c>
      <c r="O33" s="601"/>
      <c r="P33" s="601"/>
      <c r="Q33" s="615"/>
      <c r="R33" s="615"/>
      <c r="S33" s="615"/>
      <c r="T33" s="615"/>
      <c r="U33" s="615"/>
      <c r="V33" s="615">
        <v>9</v>
      </c>
      <c r="W33" s="596"/>
      <c r="X33" s="596"/>
      <c r="Y33" s="596"/>
    </row>
    <row r="34" spans="1:25" x14ac:dyDescent="0.35">
      <c r="A34" s="630" t="s">
        <v>124</v>
      </c>
      <c r="B34" s="323" t="s">
        <v>352</v>
      </c>
      <c r="C34" s="323"/>
      <c r="D34" s="323"/>
      <c r="E34" s="323"/>
      <c r="F34" s="323"/>
      <c r="G34" s="323"/>
      <c r="H34" s="323"/>
      <c r="I34" s="323">
        <v>38.9</v>
      </c>
      <c r="J34" s="323">
        <v>49.4</v>
      </c>
      <c r="K34" s="323">
        <v>10.5</v>
      </c>
      <c r="L34" s="323" t="s">
        <v>395</v>
      </c>
      <c r="N34" s="604" t="s">
        <v>123</v>
      </c>
      <c r="O34" s="605"/>
      <c r="P34" s="605">
        <v>3.72</v>
      </c>
      <c r="Q34" s="590"/>
      <c r="R34" s="590"/>
      <c r="S34" s="590"/>
      <c r="T34" s="590"/>
      <c r="U34" s="590"/>
      <c r="V34" s="590">
        <v>9</v>
      </c>
      <c r="W34" s="606">
        <v>0</v>
      </c>
      <c r="X34" s="606">
        <v>18.3</v>
      </c>
      <c r="Y34" s="606">
        <v>18.3</v>
      </c>
    </row>
    <row r="35" spans="1:25" x14ac:dyDescent="0.35">
      <c r="A35" s="320" t="s">
        <v>93</v>
      </c>
      <c r="B35" s="324"/>
      <c r="C35" s="324"/>
      <c r="D35" s="324"/>
      <c r="E35" s="324"/>
      <c r="F35" s="324"/>
      <c r="G35" s="324"/>
      <c r="H35" s="324"/>
      <c r="I35" s="331"/>
      <c r="J35" s="331"/>
      <c r="K35" s="331"/>
      <c r="L35" s="325"/>
      <c r="N35" s="630" t="s">
        <v>124</v>
      </c>
      <c r="O35" s="607">
        <v>2.87</v>
      </c>
      <c r="P35" s="608"/>
      <c r="Q35" s="589"/>
      <c r="R35" s="589"/>
      <c r="S35" s="589"/>
      <c r="T35" s="589"/>
      <c r="U35" s="589"/>
      <c r="V35" s="589">
        <v>9</v>
      </c>
      <c r="W35" s="595">
        <v>38.9</v>
      </c>
      <c r="X35" s="595">
        <v>49.4</v>
      </c>
      <c r="Y35" s="595">
        <v>10.5</v>
      </c>
    </row>
    <row r="36" spans="1:25" x14ac:dyDescent="0.35">
      <c r="A36" s="630" t="s">
        <v>125</v>
      </c>
      <c r="B36" s="323"/>
      <c r="C36" s="323" t="s">
        <v>352</v>
      </c>
      <c r="D36" s="323"/>
      <c r="E36" s="323"/>
      <c r="F36" s="323"/>
      <c r="G36" s="323"/>
      <c r="H36" s="323"/>
      <c r="I36" s="323">
        <v>21</v>
      </c>
      <c r="J36" s="323">
        <v>29</v>
      </c>
      <c r="K36" s="323">
        <v>8</v>
      </c>
      <c r="L36" s="323">
        <v>2093</v>
      </c>
      <c r="N36" s="614" t="s">
        <v>93</v>
      </c>
      <c r="O36" s="601"/>
      <c r="P36" s="601"/>
      <c r="Q36" s="615"/>
      <c r="R36" s="615"/>
      <c r="S36" s="615"/>
      <c r="T36" s="615"/>
      <c r="U36" s="615"/>
      <c r="V36" s="615">
        <v>10</v>
      </c>
      <c r="W36" s="615"/>
      <c r="X36" s="615"/>
      <c r="Y36" s="615"/>
    </row>
    <row r="37" spans="1:25" x14ac:dyDescent="0.35">
      <c r="A37" s="630" t="s">
        <v>567</v>
      </c>
      <c r="B37" s="323"/>
      <c r="C37" s="323"/>
      <c r="D37" s="323"/>
      <c r="E37" s="323" t="s">
        <v>352</v>
      </c>
      <c r="F37" s="323"/>
      <c r="G37" s="323"/>
      <c r="H37" s="323"/>
      <c r="I37" s="640">
        <f t="shared" ref="I37:K37" si="0">W38</f>
        <v>56.481000000000002</v>
      </c>
      <c r="J37" s="640">
        <f t="shared" si="0"/>
        <v>64.962000000000003</v>
      </c>
      <c r="K37" s="640">
        <f t="shared" si="0"/>
        <v>8.4809999999999999</v>
      </c>
      <c r="L37" s="323"/>
      <c r="N37" s="604" t="s">
        <v>125</v>
      </c>
      <c r="O37" s="605"/>
      <c r="P37" s="605">
        <v>2.76</v>
      </c>
      <c r="Q37" s="623"/>
      <c r="R37" s="623"/>
      <c r="S37" s="623"/>
      <c r="T37" s="623"/>
      <c r="U37" s="623"/>
      <c r="V37" s="623">
        <v>10</v>
      </c>
      <c r="W37" s="606">
        <v>21</v>
      </c>
      <c r="X37" s="606">
        <v>29</v>
      </c>
      <c r="Y37" s="606">
        <v>8</v>
      </c>
    </row>
    <row r="38" spans="1:25" x14ac:dyDescent="0.35">
      <c r="A38" s="320" t="s">
        <v>94</v>
      </c>
      <c r="B38" s="324"/>
      <c r="C38" s="324"/>
      <c r="D38" s="324"/>
      <c r="E38" s="324"/>
      <c r="F38" s="324"/>
      <c r="G38" s="324"/>
      <c r="H38" s="324"/>
      <c r="I38" s="331"/>
      <c r="J38" s="331"/>
      <c r="K38" s="331"/>
      <c r="L38" s="323"/>
      <c r="N38" s="630" t="s">
        <v>562</v>
      </c>
      <c r="O38" s="628"/>
      <c r="P38" s="628"/>
      <c r="Q38" s="595"/>
      <c r="R38" s="595">
        <v>3.3</v>
      </c>
      <c r="S38" s="594"/>
      <c r="T38" s="594"/>
      <c r="U38" s="594"/>
      <c r="V38" s="594">
        <v>10</v>
      </c>
      <c r="W38" s="595">
        <v>56.481000000000002</v>
      </c>
      <c r="X38" s="595">
        <v>64.962000000000003</v>
      </c>
      <c r="Y38" s="595">
        <v>8.4809999999999999</v>
      </c>
    </row>
    <row r="39" spans="1:25" ht="15" thickBot="1" x14ac:dyDescent="0.4">
      <c r="A39" s="332" t="s">
        <v>359</v>
      </c>
      <c r="B39" s="333">
        <f>'[3]ÜF REK'!B31*1000</f>
        <v>11610</v>
      </c>
      <c r="C39" s="333">
        <v>32670</v>
      </c>
      <c r="D39" s="333">
        <v>14960</v>
      </c>
      <c r="E39" s="333">
        <v>7600</v>
      </c>
      <c r="F39" s="333">
        <v>3660</v>
      </c>
      <c r="G39" s="333">
        <v>12700</v>
      </c>
      <c r="H39" s="333">
        <v>3876</v>
      </c>
      <c r="I39" s="334"/>
      <c r="J39" s="334"/>
      <c r="K39" s="335">
        <f>SUM(K6:K38)</f>
        <v>212.86200000000002</v>
      </c>
      <c r="L39" s="737"/>
      <c r="N39" s="587" t="s">
        <v>126</v>
      </c>
      <c r="O39" s="641">
        <v>11.149999999999999</v>
      </c>
      <c r="P39" s="641">
        <v>32.67</v>
      </c>
      <c r="Q39" s="718">
        <f>SUM(Q5:Q38)</f>
        <v>11.809999999999999</v>
      </c>
      <c r="R39" s="718">
        <f>SUM(R5:R38)</f>
        <v>10.749999999999998</v>
      </c>
      <c r="S39" s="718">
        <f>SUM(S5:S38)</f>
        <v>3.66</v>
      </c>
      <c r="T39" s="718">
        <f>SUM(T5:T38)</f>
        <v>12.7</v>
      </c>
      <c r="U39" s="718">
        <f>SUM(U5:U38)</f>
        <v>3.8759999999999999</v>
      </c>
      <c r="V39" s="586"/>
      <c r="W39" s="585"/>
      <c r="X39" s="585"/>
      <c r="Y39" s="736">
        <f>SUM(Y6:Y38)</f>
        <v>212.86200000000002</v>
      </c>
    </row>
    <row r="40" spans="1:25" ht="15.5" thickTop="1" thickBot="1" x14ac:dyDescent="0.4">
      <c r="A40" s="336" t="s">
        <v>389</v>
      </c>
      <c r="B40" s="337"/>
      <c r="C40" s="337"/>
      <c r="D40" s="337"/>
      <c r="E40" s="337"/>
      <c r="F40" s="337"/>
      <c r="G40" s="337"/>
      <c r="H40" s="337"/>
      <c r="L40" s="738"/>
      <c r="N40" s="620" t="s">
        <v>127</v>
      </c>
      <c r="O40" s="609">
        <v>9.4774999999999991</v>
      </c>
      <c r="P40" s="609">
        <v>27.769500000000001</v>
      </c>
      <c r="Q40" s="609">
        <v>12.350499999999998</v>
      </c>
      <c r="R40" s="609">
        <v>0</v>
      </c>
      <c r="S40" s="609"/>
      <c r="T40" s="609"/>
      <c r="U40" s="609"/>
      <c r="V40" s="609"/>
      <c r="W40" s="621"/>
      <c r="X40" s="621"/>
      <c r="Y40" s="599">
        <v>162.80000000000001</v>
      </c>
    </row>
    <row r="41" spans="1:25" x14ac:dyDescent="0.35">
      <c r="A41" s="339"/>
      <c r="B41" s="338"/>
      <c r="C41" s="338"/>
      <c r="D41" s="338"/>
      <c r="E41" s="338"/>
      <c r="F41" s="338"/>
      <c r="G41" s="338"/>
      <c r="H41" s="338"/>
      <c r="I41" s="165"/>
      <c r="J41" s="165"/>
      <c r="K41" s="165"/>
      <c r="N41" s="631" t="s">
        <v>559</v>
      </c>
    </row>
    <row r="42" spans="1:25" x14ac:dyDescent="0.35">
      <c r="A42" s="340"/>
      <c r="B42" s="341"/>
      <c r="C42" s="342"/>
      <c r="D42" s="342"/>
      <c r="E42" s="342"/>
      <c r="F42" s="342"/>
      <c r="G42" s="342"/>
      <c r="H42" s="342"/>
      <c r="L42" s="165"/>
    </row>
    <row r="43" spans="1:25" x14ac:dyDescent="0.35">
      <c r="A43" s="340"/>
      <c r="B43" s="340"/>
      <c r="C43" s="343"/>
      <c r="D43" s="343"/>
      <c r="E43" s="343"/>
      <c r="F43" s="343"/>
      <c r="G43" s="343"/>
      <c r="H43" s="343"/>
      <c r="L43" s="165"/>
    </row>
    <row r="44" spans="1:25" x14ac:dyDescent="0.35">
      <c r="A44" s="344"/>
      <c r="B44" s="344"/>
      <c r="C44" s="344"/>
      <c r="D44" s="344"/>
      <c r="E44" s="344"/>
      <c r="F44" s="344"/>
      <c r="G44" s="344"/>
      <c r="H44" s="344"/>
    </row>
    <row r="45" spans="1:25" x14ac:dyDescent="0.35">
      <c r="A45" s="344"/>
      <c r="B45" s="344"/>
      <c r="C45" s="344"/>
      <c r="D45" s="344"/>
      <c r="E45" s="344"/>
      <c r="F45" s="344"/>
      <c r="G45" s="344"/>
      <c r="H45" s="344"/>
    </row>
    <row r="46" spans="1:25" x14ac:dyDescent="0.35">
      <c r="A46" s="344"/>
      <c r="B46" s="344"/>
      <c r="C46" s="344"/>
      <c r="D46" s="344"/>
      <c r="E46" s="344"/>
      <c r="F46" s="344"/>
      <c r="G46" s="344"/>
      <c r="H46" s="344"/>
    </row>
    <row r="47" spans="1:25" x14ac:dyDescent="0.35">
      <c r="A47" s="344"/>
      <c r="B47" s="344"/>
      <c r="C47" s="344"/>
      <c r="D47" s="344"/>
      <c r="E47" s="344"/>
      <c r="F47" s="344"/>
      <c r="G47" s="344"/>
      <c r="H47" s="344"/>
    </row>
    <row r="48" spans="1:25" x14ac:dyDescent="0.35">
      <c r="A48" s="344"/>
      <c r="B48" s="344"/>
      <c r="C48" s="344"/>
      <c r="D48" s="344"/>
      <c r="E48" s="344"/>
      <c r="F48" s="344"/>
      <c r="G48" s="344"/>
      <c r="H48" s="344"/>
    </row>
    <row r="49" spans="1:8" x14ac:dyDescent="0.35">
      <c r="A49" s="344"/>
      <c r="B49" s="344"/>
      <c r="C49" s="344"/>
      <c r="D49" s="344"/>
      <c r="E49" s="344"/>
      <c r="F49" s="344"/>
      <c r="G49" s="344"/>
      <c r="H49" s="344"/>
    </row>
    <row r="50" spans="1:8" x14ac:dyDescent="0.35">
      <c r="A50" s="344"/>
      <c r="B50" s="344"/>
      <c r="C50" s="344"/>
      <c r="D50" s="344"/>
      <c r="E50" s="344"/>
      <c r="F50" s="344"/>
      <c r="G50" s="344"/>
      <c r="H50" s="344"/>
    </row>
    <row r="51" spans="1:8" x14ac:dyDescent="0.35">
      <c r="A51" s="344"/>
      <c r="B51" s="344"/>
      <c r="C51" s="344"/>
      <c r="D51" s="344"/>
      <c r="E51" s="344"/>
      <c r="F51" s="344"/>
      <c r="G51" s="344"/>
      <c r="H51" s="344"/>
    </row>
    <row r="52" spans="1:8" x14ac:dyDescent="0.35">
      <c r="A52" s="344"/>
      <c r="B52" s="344"/>
      <c r="C52" s="344"/>
      <c r="D52" s="344"/>
      <c r="E52" s="344"/>
      <c r="F52" s="344"/>
      <c r="G52" s="344"/>
      <c r="H52" s="344"/>
    </row>
    <row r="53" spans="1:8" x14ac:dyDescent="0.35">
      <c r="A53" s="344"/>
      <c r="B53" s="344"/>
      <c r="C53" s="344"/>
      <c r="D53" s="344"/>
      <c r="E53" s="344"/>
      <c r="F53" s="344"/>
      <c r="G53" s="344"/>
      <c r="H53" s="344"/>
    </row>
    <row r="54" spans="1:8" x14ac:dyDescent="0.35">
      <c r="A54" s="344"/>
      <c r="B54" s="344"/>
      <c r="C54" s="344"/>
      <c r="D54" s="344"/>
      <c r="E54" s="344"/>
      <c r="F54" s="344"/>
      <c r="G54" s="344"/>
      <c r="H54" s="344"/>
    </row>
    <row r="55" spans="1:8" x14ac:dyDescent="0.35">
      <c r="A55" s="344"/>
      <c r="B55" s="344"/>
      <c r="C55" s="344"/>
      <c r="D55" s="344"/>
      <c r="E55" s="344"/>
      <c r="F55" s="344"/>
      <c r="G55" s="344"/>
      <c r="H55" s="344"/>
    </row>
    <row r="56" spans="1:8" x14ac:dyDescent="0.35">
      <c r="A56" s="344"/>
      <c r="B56" s="344"/>
      <c r="C56" s="344"/>
      <c r="D56" s="344"/>
      <c r="E56" s="344"/>
      <c r="F56" s="344"/>
      <c r="G56" s="344"/>
      <c r="H56" s="344"/>
    </row>
    <row r="57" spans="1:8" x14ac:dyDescent="0.35">
      <c r="A57" s="344"/>
      <c r="B57" s="344"/>
      <c r="C57" s="344"/>
      <c r="D57" s="344"/>
      <c r="E57" s="344"/>
      <c r="F57" s="344"/>
      <c r="G57" s="344"/>
      <c r="H57" s="344"/>
    </row>
    <row r="58" spans="1:8" x14ac:dyDescent="0.35">
      <c r="A58" s="344"/>
      <c r="B58" s="344"/>
      <c r="C58" s="344"/>
      <c r="D58" s="344"/>
      <c r="E58" s="344"/>
      <c r="F58" s="344"/>
      <c r="G58" s="344"/>
      <c r="H58" s="344"/>
    </row>
    <row r="59" spans="1:8" x14ac:dyDescent="0.35">
      <c r="A59" s="344"/>
      <c r="B59" s="344"/>
      <c r="C59" s="344"/>
      <c r="D59" s="344"/>
      <c r="E59" s="344"/>
      <c r="F59" s="344"/>
      <c r="G59" s="344"/>
      <c r="H59" s="344"/>
    </row>
  </sheetData>
  <mergeCells count="12">
    <mergeCell ref="Y3:Y4"/>
    <mergeCell ref="A2:L2"/>
    <mergeCell ref="A3:A4"/>
    <mergeCell ref="I3:J3"/>
    <mergeCell ref="K3:K4"/>
    <mergeCell ref="L3:L4"/>
    <mergeCell ref="N3:N4"/>
    <mergeCell ref="O3:R3"/>
    <mergeCell ref="V3:V4"/>
    <mergeCell ref="W3:W4"/>
    <mergeCell ref="X3:X4"/>
    <mergeCell ref="B3:G3"/>
  </mergeCells>
  <pageMargins left="0.7" right="0.7" top="0.75" bottom="0.75" header="0.3" footer="0.3"/>
  <pageSetup paperSize="9" orientation="portrait" r:id="rId1"/>
  <customProperties>
    <customPr name="EpmWorksheetKeyString_GUID" r:id="rId2"/>
  </customProperties>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Töölehed</vt:lpstr>
      </vt:variant>
      <vt:variant>
        <vt:i4>27</vt:i4>
      </vt:variant>
      <vt:variant>
        <vt:lpstr>Nimega vahemikud</vt:lpstr>
      </vt:variant>
      <vt:variant>
        <vt:i4>5</vt:i4>
      </vt:variant>
    </vt:vector>
  </HeadingPairs>
  <TitlesOfParts>
    <vt:vector size="32" baseType="lpstr">
      <vt:lpstr>2017-2022 seisuga 26.04.18</vt:lpstr>
      <vt:lpstr>Lisa 1 Finantsplaan_plaan B</vt:lpstr>
      <vt:lpstr>230518 Objektid_Andres</vt:lpstr>
      <vt:lpstr>Lisa 5 2024-2030 TEN-T</vt:lpstr>
      <vt:lpstr>CO2 kava 2030 </vt:lpstr>
      <vt:lpstr>Sillad_IK15.08</vt:lpstr>
      <vt:lpstr>REK_IK15.08</vt:lpstr>
      <vt:lpstr>Kruusateed_IK18.07</vt:lpstr>
      <vt:lpstr>Lisa 2 TEN-T rek puhas</vt:lpstr>
      <vt:lpstr>Lisa 3 TEN-T Ehitus puhas</vt:lpstr>
      <vt:lpstr>Lisa 4 2021-2027 finantsplaan</vt:lpstr>
      <vt:lpstr>Lisa 5 2021-2027 TEN-T ehitus</vt:lpstr>
      <vt:lpstr>TEN-T rek kõik</vt:lpstr>
      <vt:lpstr>1705 TEN-T rek</vt:lpstr>
      <vt:lpstr>20.05 TEN-T Ehitus</vt:lpstr>
      <vt:lpstr>1705 Objektid 2018-30</vt:lpstr>
      <vt:lpstr>Mntd 1, 2 ja 4</vt:lpstr>
      <vt:lpstr>TAK eesmärgi muutmine</vt:lpstr>
      <vt:lpstr>THK 16-21 ettepanek</vt:lpstr>
      <vt:lpstr>TEN-T rek</vt:lpstr>
      <vt:lpstr>TEN-T Ehitus</vt:lpstr>
      <vt:lpstr>Objektid 2018-30</vt:lpstr>
      <vt:lpstr>Kehtiv finantsplaan 14-20</vt:lpstr>
      <vt:lpstr>Eesti rek</vt:lpstr>
      <vt:lpstr>Eesti rek+LS</vt:lpstr>
      <vt:lpstr>Eesti rek puhas</vt:lpstr>
      <vt:lpstr>Sheet1</vt:lpstr>
      <vt:lpstr>'20.05 TEN-T Ehitus'!Prindiala</vt:lpstr>
      <vt:lpstr>'CO2 kava 2030 '!Prindiala</vt:lpstr>
      <vt:lpstr>'Lisa 5 2021-2027 TEN-T ehitus'!Prindiala</vt:lpstr>
      <vt:lpstr>'Lisa 5 2024-2030 TEN-T'!Prindiala</vt:lpstr>
      <vt:lpstr>'TEN-T Ehitus'!Prindiala</vt:lpstr>
    </vt:vector>
  </TitlesOfParts>
  <Company>Majandus- ja Kommunikatsiooniministeerium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Lisa 2 Transpordiameti ja Eesti Taristuehituse Liidu teehoiu CO2 heitkoguste vähendamise tegevuskava 2023-2030</dc:title>
  <dc:creator>Peeter Paju</dc:creator>
  <cp:lastModifiedBy>Tõnis Tagger</cp:lastModifiedBy>
  <cp:lastPrinted>2024-09-11T10:37:40Z</cp:lastPrinted>
  <dcterms:created xsi:type="dcterms:W3CDTF">2015-06-29T10:45:42Z</dcterms:created>
  <dcterms:modified xsi:type="dcterms:W3CDTF">2025-01-30T07:13:13Z</dcterms:modified>
</cp:coreProperties>
</file>